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Shared\City Accountant Duties\Financial Statements\2023\Schedule 6\"/>
    </mc:Choice>
  </mc:AlternateContent>
  <bookViews>
    <workbookView xWindow="0" yWindow="0" windowWidth="19140" windowHeight="11160" activeTab="1"/>
  </bookViews>
  <sheets>
    <sheet name="2023 Summary" sheetId="14" r:id="rId1"/>
    <sheet name="2023 Schedule 06" sheetId="26" r:id="rId2"/>
    <sheet name="2023 Bank Statements" sheetId="13" r:id="rId3"/>
    <sheet name="2023 Revolving Funds" sheetId="15" r:id="rId4"/>
    <sheet name="2023 Bank Effect Transfers" sheetId="24" r:id="rId5"/>
    <sheet name="2023 NSFs" sheetId="25" r:id="rId6"/>
    <sheet name="2023 VOIDED TREASURER CHECKS" sheetId="27" r:id="rId7"/>
    <sheet name="2023 XFERS IN-OUT" sheetId="29" r:id="rId8"/>
    <sheet name="2023 Interfund" sheetId="28" r:id="rId9"/>
  </sheets>
  <externalReferences>
    <externalReference r:id="rId10"/>
  </externalReferences>
  <definedNames>
    <definedName name="_xlnm._FilterDatabase" localSheetId="5" hidden="1">'2023 NSFs'!$A$2:$C$139</definedName>
    <definedName name="_xlnm.Print_Area" localSheetId="1">'2023 Schedule 06'!$A$1:$G$44</definedName>
    <definedName name="_xlnm.Print_Area" localSheetId="0">'2023 Summary'!$A$1:$F$153</definedName>
    <definedName name="tm_536871088" localSheetId="3">[1]Summary!#REF!</definedName>
    <definedName name="tm_536871088" localSheetId="1">'2023 Summary'!#REF!</definedName>
    <definedName name="tm_536871088" localSheetId="7">'2023 Summary'!#REF!</definedName>
    <definedName name="tm_536871088">'2023 Summary'!#REF!</definedName>
  </definedNames>
  <calcPr calcId="162913"/>
</workbook>
</file>

<file path=xl/calcChain.xml><?xml version="1.0" encoding="utf-8"?>
<calcChain xmlns="http://schemas.openxmlformats.org/spreadsheetml/2006/main">
  <c r="E144" i="14" l="1"/>
  <c r="E42" i="26"/>
  <c r="E81" i="14"/>
  <c r="E113" i="14" l="1"/>
  <c r="E60" i="14"/>
  <c r="E26" i="14"/>
  <c r="D25" i="26"/>
  <c r="C42" i="26"/>
  <c r="E7" i="14"/>
  <c r="E31" i="26" l="1"/>
  <c r="E39" i="14" l="1"/>
  <c r="C37" i="26" l="1"/>
  <c r="B37" i="26"/>
  <c r="H26" i="24" l="1"/>
  <c r="G26" i="24"/>
  <c r="F26" i="24"/>
  <c r="E26" i="24"/>
  <c r="D26" i="24"/>
  <c r="B79" i="25" l="1"/>
  <c r="B66" i="25"/>
  <c r="B62" i="25"/>
  <c r="F19" i="26" l="1"/>
  <c r="E19" i="26"/>
  <c r="D19" i="26"/>
  <c r="C19" i="26"/>
  <c r="F18" i="26"/>
  <c r="E18" i="26"/>
  <c r="D18" i="26"/>
  <c r="C18" i="26"/>
  <c r="F17" i="26"/>
  <c r="E17" i="26"/>
  <c r="D17" i="26"/>
  <c r="C17" i="26"/>
  <c r="F16" i="26"/>
  <c r="E16" i="26"/>
  <c r="D16" i="26"/>
  <c r="C16" i="26"/>
  <c r="F15" i="26"/>
  <c r="E15" i="26"/>
  <c r="D15" i="26"/>
  <c r="C15" i="26"/>
  <c r="F14" i="26"/>
  <c r="E14" i="26"/>
  <c r="D14" i="26"/>
  <c r="C14" i="26"/>
  <c r="Q13" i="13" l="1"/>
  <c r="Q14" i="13"/>
  <c r="Q15" i="13"/>
  <c r="Q12" i="13" l="1"/>
  <c r="E18" i="13" l="1"/>
  <c r="K17" i="13"/>
  <c r="M17" i="13"/>
  <c r="J18" i="13"/>
  <c r="G17" i="13"/>
  <c r="I14" i="13"/>
  <c r="C18" i="13"/>
  <c r="D18" i="13"/>
  <c r="F18" i="13"/>
  <c r="G18" i="13"/>
  <c r="H18" i="13"/>
  <c r="I18" i="13"/>
  <c r="K18" i="13"/>
  <c r="L18" i="13"/>
  <c r="M18" i="13"/>
  <c r="B18" i="13"/>
  <c r="C60" i="13" l="1"/>
  <c r="D60" i="13"/>
  <c r="E60" i="13"/>
  <c r="F60" i="13"/>
  <c r="G60" i="13"/>
  <c r="H60" i="13"/>
  <c r="I60" i="13"/>
  <c r="J60" i="13"/>
  <c r="K60" i="13"/>
  <c r="L60" i="13"/>
  <c r="M60" i="13"/>
  <c r="B60" i="13" l="1"/>
  <c r="J49" i="13"/>
  <c r="G49" i="13"/>
  <c r="B51" i="13" l="1"/>
  <c r="C53" i="13" l="1"/>
  <c r="D53" i="13"/>
  <c r="E53" i="13"/>
  <c r="F53" i="13"/>
  <c r="G53" i="13"/>
  <c r="H53" i="13"/>
  <c r="I53" i="13"/>
  <c r="K53" i="13"/>
  <c r="L53" i="13"/>
  <c r="M53" i="13"/>
  <c r="C54" i="13"/>
  <c r="D54" i="13"/>
  <c r="E54" i="13"/>
  <c r="F54" i="13"/>
  <c r="H54" i="13"/>
  <c r="I54" i="13"/>
  <c r="J54" i="13"/>
  <c r="K54" i="13"/>
  <c r="L54" i="13"/>
  <c r="M54" i="13"/>
  <c r="G45" i="13"/>
  <c r="G44" i="13"/>
  <c r="M36" i="13"/>
  <c r="M32" i="13"/>
  <c r="M31" i="13"/>
  <c r="L32" i="13"/>
  <c r="L31" i="13"/>
  <c r="K36" i="13"/>
  <c r="K32" i="13"/>
  <c r="K31" i="13"/>
  <c r="J31" i="13"/>
  <c r="J33" i="13" s="1"/>
  <c r="I31" i="13"/>
  <c r="I33" i="13"/>
  <c r="H31" i="13"/>
  <c r="H33" i="13" s="1"/>
  <c r="G32" i="13"/>
  <c r="G31" i="13"/>
  <c r="G33" i="13" s="1"/>
  <c r="F31" i="13"/>
  <c r="F33" i="13" s="1"/>
  <c r="E31" i="13"/>
  <c r="E33" i="13" s="1"/>
  <c r="D31" i="13"/>
  <c r="D33" i="13"/>
  <c r="B32" i="13"/>
  <c r="B31" i="13"/>
  <c r="C31" i="13"/>
  <c r="C33" i="13"/>
  <c r="L33" i="13"/>
  <c r="M33" i="13"/>
  <c r="B33" i="13"/>
  <c r="C15" i="13"/>
  <c r="D15" i="13"/>
  <c r="E15" i="13"/>
  <c r="F15" i="13"/>
  <c r="G15" i="13"/>
  <c r="H15" i="13"/>
  <c r="I15" i="13"/>
  <c r="J15" i="13"/>
  <c r="K15" i="13"/>
  <c r="L15" i="13"/>
  <c r="M15" i="13"/>
  <c r="B15" i="13"/>
  <c r="K33" i="13" l="1"/>
  <c r="I10" i="24"/>
  <c r="H29" i="24" l="1"/>
  <c r="I26" i="24" s="1"/>
  <c r="I29" i="24" s="1"/>
  <c r="J26" i="24" s="1"/>
  <c r="J29" i="24" s="1"/>
  <c r="K26" i="24" s="1"/>
  <c r="K29" i="24" s="1"/>
  <c r="L26" i="24" s="1"/>
  <c r="L29" i="24" s="1"/>
  <c r="M26" i="24" s="1"/>
  <c r="M29" i="24" s="1"/>
  <c r="N26" i="24" s="1"/>
  <c r="N29" i="24" s="1"/>
  <c r="G29" i="24"/>
  <c r="F29" i="24"/>
  <c r="D29" i="24"/>
  <c r="C29" i="24"/>
  <c r="E29" i="24"/>
  <c r="N20" i="24"/>
  <c r="M20" i="24"/>
  <c r="L20" i="24"/>
  <c r="K20" i="24"/>
  <c r="J20" i="24"/>
  <c r="I20" i="24"/>
  <c r="H20" i="24"/>
  <c r="G20" i="24"/>
  <c r="F20" i="24"/>
  <c r="E20" i="24"/>
  <c r="D20" i="24"/>
  <c r="C20" i="24"/>
  <c r="E91" i="14" l="1"/>
  <c r="C161" i="28" l="1"/>
  <c r="C160" i="28"/>
  <c r="C159" i="28"/>
  <c r="C158" i="28"/>
  <c r="C157" i="28"/>
  <c r="C156" i="28"/>
  <c r="C155" i="28"/>
  <c r="C154" i="28"/>
  <c r="C153" i="28"/>
  <c r="C152" i="28"/>
  <c r="C117" i="28" l="1"/>
  <c r="C115" i="28"/>
  <c r="C114" i="28"/>
  <c r="C113" i="28"/>
  <c r="C111" i="28"/>
  <c r="C110" i="28"/>
  <c r="C109" i="28"/>
  <c r="C107" i="28"/>
  <c r="C106" i="28"/>
  <c r="C7" i="27" l="1"/>
  <c r="D5" i="26" l="1"/>
  <c r="E5" i="26"/>
  <c r="E6" i="26"/>
  <c r="E7" i="26"/>
  <c r="D8" i="26"/>
  <c r="E8" i="26"/>
  <c r="F8" i="26" s="1"/>
  <c r="E25" i="26"/>
  <c r="G15" i="26"/>
  <c r="G19" i="26"/>
  <c r="I19" i="26" s="1"/>
  <c r="I20" i="26"/>
  <c r="I21" i="26"/>
  <c r="I22" i="26"/>
  <c r="I23" i="26"/>
  <c r="I24" i="26"/>
  <c r="B25" i="26"/>
  <c r="F25" i="26"/>
  <c r="I28" i="26"/>
  <c r="G29" i="26"/>
  <c r="E30" i="26"/>
  <c r="E38" i="26" s="1"/>
  <c r="G31" i="26"/>
  <c r="I31" i="26" s="1"/>
  <c r="I32" i="26"/>
  <c r="I34" i="26"/>
  <c r="I35" i="26"/>
  <c r="G37" i="26"/>
  <c r="C38" i="26"/>
  <c r="F5" i="26" l="1"/>
  <c r="G14" i="26"/>
  <c r="I14" i="26" s="1"/>
  <c r="G18" i="26"/>
  <c r="G17" i="26"/>
  <c r="G16" i="26"/>
  <c r="I16" i="26" s="1"/>
  <c r="C25" i="26"/>
  <c r="C43" i="26" s="1"/>
  <c r="G6" i="26" s="1"/>
  <c r="E43" i="26"/>
  <c r="G7" i="26" s="1"/>
  <c r="G38" i="26"/>
  <c r="I29" i="26"/>
  <c r="I15" i="26"/>
  <c r="B38" i="26"/>
  <c r="B43" i="26" s="1"/>
  <c r="G5" i="26" s="1"/>
  <c r="I18" i="26"/>
  <c r="I17" i="26"/>
  <c r="I30" i="26"/>
  <c r="G25" i="26" l="1"/>
  <c r="G43" i="26" s="1"/>
  <c r="G8" i="26" s="1"/>
  <c r="I25" i="26" l="1"/>
  <c r="B140" i="25"/>
  <c r="O13" i="24" l="1"/>
  <c r="O12" i="24"/>
  <c r="C10" i="24"/>
  <c r="D10" i="24" s="1"/>
  <c r="E10" i="24" s="1"/>
  <c r="F10" i="24" s="1"/>
  <c r="G10" i="24" s="1"/>
  <c r="H10" i="24" s="1"/>
  <c r="J10" i="24" s="1"/>
  <c r="K10" i="24" s="1"/>
  <c r="L10" i="24" s="1"/>
  <c r="M10" i="24" s="1"/>
  <c r="N10" i="24" s="1"/>
  <c r="O10" i="24" s="1"/>
  <c r="O9" i="24"/>
  <c r="O8" i="24"/>
  <c r="O7" i="24"/>
  <c r="O26" i="24" l="1"/>
  <c r="O19" i="24"/>
  <c r="O18" i="24"/>
  <c r="O17" i="24"/>
  <c r="O20" i="24"/>
  <c r="O22" i="24" l="1"/>
  <c r="O28" i="24"/>
  <c r="O29" i="24"/>
  <c r="O27" i="24"/>
  <c r="O23" i="24"/>
  <c r="O31" i="24"/>
  <c r="E68" i="14" s="1"/>
  <c r="O32" i="24"/>
  <c r="E121" i="14" s="1"/>
  <c r="B54" i="13" l="1"/>
  <c r="B53" i="13"/>
  <c r="C57" i="13" l="1"/>
  <c r="D57" i="13"/>
  <c r="E57" i="13"/>
  <c r="F57" i="13"/>
  <c r="G57" i="13"/>
  <c r="H57" i="13"/>
  <c r="I57" i="13"/>
  <c r="J57" i="13"/>
  <c r="K57" i="13"/>
  <c r="L57" i="13"/>
  <c r="M57" i="13"/>
  <c r="I41" i="14" l="1"/>
  <c r="I40" i="14"/>
  <c r="I42" i="14" l="1"/>
  <c r="I145" i="14"/>
  <c r="I144" i="14"/>
  <c r="I116" i="14"/>
  <c r="C3" i="13"/>
  <c r="N23" i="13"/>
  <c r="N22" i="13"/>
  <c r="N21" i="13"/>
  <c r="N13" i="13"/>
  <c r="I146" i="14" l="1"/>
  <c r="I27" i="14"/>
  <c r="I63" i="14"/>
  <c r="I14" i="14"/>
  <c r="I13" i="14"/>
  <c r="I10" i="14"/>
  <c r="I9" i="14"/>
  <c r="I8" i="14"/>
  <c r="I15" i="14" l="1"/>
  <c r="E10" i="14" l="1"/>
  <c r="I110" i="14" l="1"/>
  <c r="I57" i="14"/>
  <c r="I82" i="14"/>
  <c r="I123" i="14" l="1"/>
  <c r="I70" i="14"/>
  <c r="I149" i="14"/>
  <c r="E107" i="14" l="1"/>
  <c r="E54" i="14" l="1"/>
  <c r="E42" i="14"/>
  <c r="B96" i="13" l="1"/>
  <c r="B87" i="13"/>
  <c r="B78" i="13"/>
  <c r="B69" i="13"/>
  <c r="B42" i="13"/>
  <c r="B24" i="13"/>
  <c r="N95" i="13"/>
  <c r="D16" i="15" l="1"/>
  <c r="E137" i="14" s="1"/>
  <c r="N99" i="13"/>
  <c r="N98" i="13"/>
  <c r="C93" i="13"/>
  <c r="N94" i="13"/>
  <c r="N93" i="13"/>
  <c r="P92" i="13"/>
  <c r="N90" i="13"/>
  <c r="N89" i="13"/>
  <c r="C84" i="13"/>
  <c r="N86" i="13"/>
  <c r="N85" i="13"/>
  <c r="N84" i="13"/>
  <c r="P83" i="13"/>
  <c r="N81" i="13"/>
  <c r="N80" i="13"/>
  <c r="C75" i="13"/>
  <c r="N77" i="13"/>
  <c r="N76" i="13"/>
  <c r="N75" i="13"/>
  <c r="P74" i="13"/>
  <c r="N72" i="13"/>
  <c r="N71" i="13"/>
  <c r="C66" i="13"/>
  <c r="N68" i="13"/>
  <c r="N67" i="13"/>
  <c r="N66" i="13"/>
  <c r="P65" i="13"/>
  <c r="N63" i="13"/>
  <c r="N62" i="13"/>
  <c r="N59" i="13"/>
  <c r="N58" i="13"/>
  <c r="N57" i="13"/>
  <c r="P56" i="13"/>
  <c r="N54" i="13"/>
  <c r="N53" i="13"/>
  <c r="N50" i="13"/>
  <c r="N49" i="13"/>
  <c r="N48" i="13"/>
  <c r="P47" i="13"/>
  <c r="N45" i="13"/>
  <c r="N44" i="13"/>
  <c r="E94" i="14" s="1"/>
  <c r="N41" i="13"/>
  <c r="N40" i="13"/>
  <c r="N39" i="13"/>
  <c r="P38" i="13"/>
  <c r="N36" i="13"/>
  <c r="N35" i="13"/>
  <c r="N32" i="13"/>
  <c r="N31" i="13"/>
  <c r="N30" i="13"/>
  <c r="P29" i="13"/>
  <c r="N27" i="13"/>
  <c r="N26" i="13"/>
  <c r="P20" i="13"/>
  <c r="N18" i="13"/>
  <c r="N17" i="13"/>
  <c r="N14" i="13"/>
  <c r="N12" i="13"/>
  <c r="P11" i="13"/>
  <c r="E123" i="14"/>
  <c r="E115" i="14"/>
  <c r="D7" i="26" s="1"/>
  <c r="F7" i="26" s="1"/>
  <c r="E70" i="14"/>
  <c r="E62" i="14"/>
  <c r="D6" i="26" s="1"/>
  <c r="F6" i="26" s="1"/>
  <c r="E150" i="14"/>
  <c r="E15" i="14"/>
  <c r="F10" i="14"/>
  <c r="Q4" i="13" l="1"/>
  <c r="E47" i="14" s="1"/>
  <c r="B4" i="13"/>
  <c r="I62" i="14"/>
  <c r="I64" i="14" s="1"/>
  <c r="I115" i="14"/>
  <c r="I117" i="14" s="1"/>
  <c r="C42" i="13"/>
  <c r="C24" i="13"/>
  <c r="C87" i="13"/>
  <c r="D84" i="13" s="1"/>
  <c r="C78" i="13"/>
  <c r="D75" i="13" s="1"/>
  <c r="C69" i="13"/>
  <c r="D66" i="13" s="1"/>
  <c r="C96" i="13"/>
  <c r="D93" i="13" s="1"/>
  <c r="C51" i="13"/>
  <c r="B5" i="13"/>
  <c r="I81" i="14" s="1"/>
  <c r="B6" i="13"/>
  <c r="E77" i="14" s="1"/>
  <c r="B3" i="13"/>
  <c r="E22" i="14" s="1"/>
  <c r="Q3" i="13"/>
  <c r="B2" i="13"/>
  <c r="I7" i="14" s="1"/>
  <c r="I11" i="14" s="1"/>
  <c r="Q5" i="13"/>
  <c r="Q2" i="13"/>
  <c r="E46" i="14" s="1"/>
  <c r="E17" i="14"/>
  <c r="F17" i="14" s="1"/>
  <c r="E133" i="14" l="1"/>
  <c r="E135" i="14"/>
  <c r="E134" i="14"/>
  <c r="E98" i="14"/>
  <c r="E102" i="14" s="1"/>
  <c r="I26" i="14"/>
  <c r="I28" i="14" s="1"/>
  <c r="E87" i="14"/>
  <c r="I83" i="14"/>
  <c r="E49" i="14"/>
  <c r="D96" i="13"/>
  <c r="E93" i="13" s="1"/>
  <c r="D69" i="13"/>
  <c r="E66" i="13" s="1"/>
  <c r="D78" i="13"/>
  <c r="E75" i="13" s="1"/>
  <c r="D87" i="13"/>
  <c r="E84" i="13" s="1"/>
  <c r="D24" i="13"/>
  <c r="D51" i="13"/>
  <c r="D42" i="13"/>
  <c r="C5" i="13"/>
  <c r="E132" i="14"/>
  <c r="E109" i="14" l="1"/>
  <c r="E110" i="14" s="1"/>
  <c r="E117" i="14" s="1"/>
  <c r="E31" i="14"/>
  <c r="E56" i="14" s="1"/>
  <c r="E140" i="14"/>
  <c r="E51" i="13"/>
  <c r="E24" i="13"/>
  <c r="E87" i="13"/>
  <c r="F84" i="13" s="1"/>
  <c r="E78" i="13"/>
  <c r="F75" i="13" s="1"/>
  <c r="E69" i="13"/>
  <c r="F66" i="13" s="1"/>
  <c r="E96" i="13"/>
  <c r="F93" i="13" s="1"/>
  <c r="E42" i="13"/>
  <c r="I109" i="14" l="1"/>
  <c r="I111" i="14" s="1"/>
  <c r="F117" i="14"/>
  <c r="I122" i="14"/>
  <c r="I124" i="14" s="1"/>
  <c r="I56" i="14"/>
  <c r="I58" i="14" s="1"/>
  <c r="E57" i="14"/>
  <c r="E64" i="14" s="1"/>
  <c r="E125" i="14"/>
  <c r="F125" i="14" s="1"/>
  <c r="F42" i="13"/>
  <c r="F87" i="13"/>
  <c r="G84" i="13" s="1"/>
  <c r="F96" i="13"/>
  <c r="G93" i="13" s="1"/>
  <c r="F24" i="13"/>
  <c r="F69" i="13"/>
  <c r="G66" i="13" s="1"/>
  <c r="F78" i="13"/>
  <c r="G75" i="13" s="1"/>
  <c r="F51" i="13"/>
  <c r="E72" i="14" l="1"/>
  <c r="F72" i="14" s="1"/>
  <c r="I69" i="14"/>
  <c r="I71" i="14" s="1"/>
  <c r="F64" i="14"/>
  <c r="G69" i="13"/>
  <c r="H66" i="13" s="1"/>
  <c r="G87" i="13"/>
  <c r="H84" i="13" s="1"/>
  <c r="G78" i="13"/>
  <c r="H75" i="13" s="1"/>
  <c r="G24" i="13"/>
  <c r="G96" i="13"/>
  <c r="H93" i="13" s="1"/>
  <c r="G51" i="13"/>
  <c r="G42" i="13"/>
  <c r="H51" i="13" l="1"/>
  <c r="H96" i="13"/>
  <c r="I93" i="13" s="1"/>
  <c r="H24" i="13"/>
  <c r="H78" i="13"/>
  <c r="I75" i="13" s="1"/>
  <c r="H87" i="13"/>
  <c r="I84" i="13" s="1"/>
  <c r="H69" i="13"/>
  <c r="I66" i="13" s="1"/>
  <c r="H42" i="13"/>
  <c r="I78" i="13" l="1"/>
  <c r="J75" i="13" s="1"/>
  <c r="I87" i="13"/>
  <c r="J84" i="13" s="1"/>
  <c r="I24" i="13"/>
  <c r="I96" i="13"/>
  <c r="J93" i="13" s="1"/>
  <c r="I42" i="13"/>
  <c r="I69" i="13"/>
  <c r="J66" i="13" s="1"/>
  <c r="I51" i="13"/>
  <c r="J96" i="13" l="1"/>
  <c r="K93" i="13" s="1"/>
  <c r="J69" i="13"/>
  <c r="K66" i="13" s="1"/>
  <c r="J24" i="13"/>
  <c r="J87" i="13"/>
  <c r="K84" i="13" s="1"/>
  <c r="J51" i="13"/>
  <c r="J78" i="13"/>
  <c r="K75" i="13" s="1"/>
  <c r="J42" i="13"/>
  <c r="K78" i="13" l="1"/>
  <c r="L75" i="13" s="1"/>
  <c r="K87" i="13"/>
  <c r="L84" i="13" s="1"/>
  <c r="K51" i="13"/>
  <c r="K69" i="13"/>
  <c r="L66" i="13" s="1"/>
  <c r="K24" i="13"/>
  <c r="K42" i="13"/>
  <c r="K96" i="13"/>
  <c r="L93" i="13" s="1"/>
  <c r="L42" i="13" l="1"/>
  <c r="L24" i="13"/>
  <c r="L69" i="13"/>
  <c r="M66" i="13" s="1"/>
  <c r="L51" i="13"/>
  <c r="L87" i="13"/>
  <c r="M84" i="13" s="1"/>
  <c r="L96" i="13"/>
  <c r="M93" i="13" s="1"/>
  <c r="L78" i="13"/>
  <c r="M75" i="13" s="1"/>
  <c r="M51" i="13" l="1"/>
  <c r="N51" i="13" s="1"/>
  <c r="Q52" i="13" s="1"/>
  <c r="M87" i="13"/>
  <c r="N87" i="13" s="1"/>
  <c r="Q88" i="13" s="1"/>
  <c r="M69" i="13"/>
  <c r="N69" i="13" s="1"/>
  <c r="Q70" i="13" s="1"/>
  <c r="M24" i="13"/>
  <c r="M96" i="13"/>
  <c r="N96" i="13" s="1"/>
  <c r="Q97" i="13" s="1"/>
  <c r="N60" i="13"/>
  <c r="N33" i="13"/>
  <c r="Q34" i="13" s="1"/>
  <c r="M78" i="13"/>
  <c r="N78" i="13" s="1"/>
  <c r="Q79" i="13" s="1"/>
  <c r="M42" i="13"/>
  <c r="N42" i="13" s="1"/>
  <c r="Q43" i="13" s="1"/>
  <c r="N15" i="13"/>
  <c r="Q61" i="13" l="1"/>
  <c r="N24" i="13"/>
  <c r="Q25" i="13" s="1"/>
  <c r="Q16" i="13"/>
  <c r="Q6" i="13" s="1"/>
  <c r="B8" i="13" l="1"/>
  <c r="E129" i="14" s="1"/>
  <c r="E141" i="14" s="1"/>
  <c r="E145" i="14" s="1"/>
  <c r="F145" i="14" s="1"/>
  <c r="A9" i="13" l="1"/>
  <c r="E152" i="14"/>
  <c r="F152" i="14" l="1"/>
  <c r="I148" i="14"/>
  <c r="I150" i="14" s="1"/>
</calcChain>
</file>

<file path=xl/comments1.xml><?xml version="1.0" encoding="utf-8"?>
<comments xmlns="http://schemas.openxmlformats.org/spreadsheetml/2006/main">
  <authors>
    <author>Scott DeViney</author>
    <author>Tecca, Brandon (SAO)</author>
    <author>Ecklund, Bryndon (SAO)</author>
    <author>Nissa Musselman</author>
  </authors>
  <commentList>
    <comment ref="C3" authorId="0" shapeId="0">
      <text>
        <r>
          <rPr>
            <sz val="10"/>
            <color indexed="81"/>
            <rFont val="Tahoma"/>
            <family val="2"/>
          </rPr>
          <t>Conclude whether balances and activity were reconciled within expected variances.
If not, variances outside the expected range are considered likely misstatements.  Auditors should consider follow-up procedures if likely misstatements are above the floor.</t>
        </r>
      </text>
    </comment>
    <comment ref="A7" authorId="1" shapeId="0">
      <text>
        <r>
          <rPr>
            <sz val="9"/>
            <color indexed="81"/>
            <rFont val="Tahoma"/>
            <family val="2"/>
          </rPr>
          <t>Enter the "Beginning Net Cash and Investments" line items (reserved and unreserved) for all funds on C-4 and C-5 statements.</t>
        </r>
      </text>
    </comment>
    <comment ref="A8" authorId="1" shapeId="0">
      <text>
        <r>
          <rPr>
            <sz val="9"/>
            <color indexed="81"/>
            <rFont val="Tahoma"/>
            <family val="2"/>
          </rPr>
          <t>Positive prior period adjustments are subtracted to get to the prior year's balance as the reserved and unreserved amounts include this addition (adjustment).
Negative adjustments increase our expectation of the prior year's ending amounts.</t>
        </r>
      </text>
    </comment>
    <comment ref="D12" authorId="0" shapeId="0">
      <text>
        <r>
          <rPr>
            <sz val="9"/>
            <color indexed="81"/>
            <rFont val="Tahoma"/>
            <family val="2"/>
          </rPr>
          <t xml:space="preserve">Describe any known misstatements and input the affect of the proposed correction (a </t>
        </r>
        <r>
          <rPr>
            <u/>
            <sz val="9"/>
            <color indexed="81"/>
            <rFont val="Tahoma"/>
            <family val="2"/>
          </rPr>
          <t>negative correction if the FS are overstated</t>
        </r>
        <r>
          <rPr>
            <sz val="9"/>
            <color indexed="81"/>
            <rFont val="Tahoma"/>
            <family val="2"/>
          </rPr>
          <t xml:space="preserve"> and a </t>
        </r>
        <r>
          <rPr>
            <u/>
            <sz val="9"/>
            <color indexed="81"/>
            <rFont val="Tahoma"/>
            <family val="2"/>
          </rPr>
          <t>positive correction if the FS are understated</t>
        </r>
        <r>
          <rPr>
            <sz val="9"/>
            <color indexed="81"/>
            <rFont val="Tahoma"/>
            <family val="2"/>
          </rPr>
          <t>).</t>
        </r>
      </text>
    </comment>
    <comment ref="D17" authorId="0" shapeId="0">
      <text>
        <r>
          <rPr>
            <b/>
            <sz val="9"/>
            <color indexed="81"/>
            <rFont val="Tahoma"/>
            <family val="2"/>
          </rPr>
          <t>Differences can only be one, or a combination, of the following:
(A) Misstated financial statements.</t>
        </r>
        <r>
          <rPr>
            <sz val="9"/>
            <color indexed="81"/>
            <rFont val="Tahoma"/>
            <family val="2"/>
          </rPr>
          <t xml:space="preserve">  A </t>
        </r>
        <r>
          <rPr>
            <u/>
            <sz val="9"/>
            <color indexed="81"/>
            <rFont val="Tahoma"/>
            <family val="2"/>
          </rPr>
          <t>positive</t>
        </r>
        <r>
          <rPr>
            <sz val="9"/>
            <color indexed="81"/>
            <rFont val="Tahoma"/>
            <family val="2"/>
          </rPr>
          <t xml:space="preserve"> amount indicates that cash &amp; investments are </t>
        </r>
        <r>
          <rPr>
            <u/>
            <sz val="9"/>
            <color indexed="81"/>
            <rFont val="Tahoma"/>
            <family val="2"/>
          </rPr>
          <t>overstated</t>
        </r>
        <r>
          <rPr>
            <sz val="9"/>
            <color indexed="81"/>
            <rFont val="Tahoma"/>
            <family val="2"/>
          </rPr>
          <t xml:space="preserve">; a </t>
        </r>
        <r>
          <rPr>
            <u/>
            <sz val="9"/>
            <color indexed="81"/>
            <rFont val="Tahoma"/>
            <family val="2"/>
          </rPr>
          <t>negative</t>
        </r>
        <r>
          <rPr>
            <sz val="9"/>
            <color indexed="81"/>
            <rFont val="Tahoma"/>
            <family val="2"/>
          </rPr>
          <t xml:space="preserve"> amount indicates that cash &amp; investments are </t>
        </r>
        <r>
          <rPr>
            <u/>
            <sz val="9"/>
            <color indexed="81"/>
            <rFont val="Tahoma"/>
            <family val="2"/>
          </rPr>
          <t>understated</t>
        </r>
        <r>
          <rPr>
            <sz val="9"/>
            <color indexed="81"/>
            <rFont val="Tahoma"/>
            <family val="2"/>
          </rPr>
          <t xml:space="preserve"> on the financial statements.
</t>
        </r>
        <r>
          <rPr>
            <i/>
            <sz val="9"/>
            <color indexed="81"/>
            <rFont val="Tahoma"/>
            <family val="2"/>
          </rPr>
          <t>NOTE: a misstatement of beginning cash should be corrected through a prior period adjustment using BARS 388.80 or 588.80.</t>
        </r>
        <r>
          <rPr>
            <b/>
            <sz val="9"/>
            <color indexed="81"/>
            <rFont val="Tahoma"/>
            <family val="2"/>
          </rPr>
          <t xml:space="preserve">
(B) Reconciling items that were not identified and included</t>
        </r>
        <r>
          <rPr>
            <sz val="9"/>
            <color indexed="81"/>
            <rFont val="Tahoma"/>
            <family val="2"/>
          </rPr>
          <t xml:space="preserve">.
</t>
        </r>
        <r>
          <rPr>
            <b/>
            <sz val="9"/>
            <color indexed="81"/>
            <rFont val="Tahoma"/>
            <family val="2"/>
          </rPr>
          <t>(C) Auditor mistakes in any of the inputs or reconciling items.</t>
        </r>
      </text>
    </comment>
    <comment ref="D22" authorId="0" shapeId="0">
      <text>
        <r>
          <rPr>
            <sz val="9"/>
            <color indexed="81"/>
            <rFont val="Tahoma"/>
            <family val="2"/>
          </rPr>
          <t xml:space="preserve">This number is the sum of all the "total credits" row totals from the Input sheet less total "Transfers IN from other accounts".
</t>
        </r>
        <r>
          <rPr>
            <sz val="7"/>
            <color indexed="81"/>
            <rFont val="Tahoma"/>
            <family val="2"/>
          </rPr>
          <t xml:space="preserve">
Inter-bank transfers are subtracted from the total credits per the bank because it doesn't represent revenues.  Rather, it represents clearing fund, transmittal account, cash management and investment activity.  </t>
        </r>
        <r>
          <rPr>
            <i/>
            <sz val="7"/>
            <color indexed="81"/>
            <rFont val="Tahoma"/>
            <family val="2"/>
          </rPr>
          <t>Inter-bank transfers are subtracted out and then interfund activity is added back in as reconciling items because bank activity may not result in journal entries and vice-versa.</t>
        </r>
      </text>
    </comment>
    <comment ref="D27" authorId="2" shapeId="0">
      <text>
        <r>
          <rPr>
            <sz val="9"/>
            <color indexed="81"/>
            <rFont val="Tahoma"/>
            <family val="2"/>
          </rPr>
          <t>NSF Checks Returned which show up as both a deposit and withdrawal (received and then returned) on the statements, but should not be recorded as revenue or expense on the statement (other than any bank fees).</t>
        </r>
      </text>
    </comment>
    <comment ref="D28" authorId="2" shapeId="0">
      <text>
        <r>
          <rPr>
            <sz val="9"/>
            <color indexed="81"/>
            <rFont val="Tahoma"/>
            <family val="2"/>
          </rPr>
          <t>Occasionally, a bank with accidentially deposit or withdraw an item twice or deposit or withdraw a wrong item to the entity's account.  In such cases, the incorrect item shows as a credit/debit on the bank statement and then is reversed to correct it.
These items are not expected to be significant, but would be identifiable on the statements.  Since they don't represent real activity, they should be removed from bank activity.</t>
        </r>
      </text>
    </comment>
    <comment ref="D29" authorId="2" shapeId="0">
      <text>
        <r>
          <rPr>
            <sz val="9"/>
            <color indexed="81"/>
            <rFont val="Tahoma"/>
            <family val="2"/>
          </rPr>
          <t>Enter the amount of revenues and expenditures that should be netted rather than being reported at a gross amount, such as:
(1) Correction of errors where money was deposited and then refunded such as refunding overpayments to customers.
(2) Vendor refunds which should be netted against the original expenditure.
(3) Employee reimbursements where the employee is reimbursing the entity for personal expenses.
This will likely be a trival amount.  The way to identify netting is to look for (1) total revenues or expenditures per the GL don't agree to the financial statements or (2) the GL contains negative revenue or negative expenditure transactions.
Cash Basis BARS Manual part 3, chapter 1, section A prescribes that revenues and expenditures be reported at gross amounts by account and not netted against each other.  Any significant netting other than for valid reasons stated above should therefore be evaluated.
Revenues and expenditures netted for financial reporting will show as receipts and withdrawals on the bank and therefore need to be subtracted from the bank amount to reconcile to financial reporting.</t>
        </r>
      </text>
    </comment>
    <comment ref="D30" authorId="0" shapeId="0">
      <text>
        <r>
          <rPr>
            <sz val="9"/>
            <color indexed="81"/>
            <rFont val="Tahoma"/>
            <family val="2"/>
          </rPr>
          <t xml:space="preserve">Enter any positive prior period adjustments reported on the statements </t>
        </r>
        <r>
          <rPr>
            <u/>
            <sz val="9"/>
            <color indexed="81"/>
            <rFont val="Tahoma"/>
            <family val="2"/>
          </rPr>
          <t>that were credits in the bank statements</t>
        </r>
        <r>
          <rPr>
            <sz val="9"/>
            <color indexed="81"/>
            <rFont val="Tahoma"/>
            <family val="2"/>
          </rPr>
          <t xml:space="preserve">.
</t>
        </r>
        <r>
          <rPr>
            <sz val="7"/>
            <color indexed="81"/>
            <rFont val="Tahoma"/>
            <family val="2"/>
          </rPr>
          <t>Prior Period Adjustments reflected in current bank activity will not represent current period revenues. Prior period adjustements which have no affect to current period bank statements and will not need to be reconciled as they are reported above the line.</t>
        </r>
      </text>
    </comment>
    <comment ref="E30" authorId="3" shapeId="0">
      <text>
        <r>
          <rPr>
            <b/>
            <sz val="9"/>
            <color indexed="81"/>
            <rFont val="Tahoma"/>
            <family val="2"/>
          </rPr>
          <t>Nissa Musselman:</t>
        </r>
        <r>
          <rPr>
            <sz val="9"/>
            <color indexed="81"/>
            <rFont val="Tahoma"/>
            <family val="2"/>
          </rPr>
          <t xml:space="preserve">
on my sched 1, this is negative</t>
        </r>
      </text>
    </comment>
    <comment ref="D35" authorId="2" shapeId="0">
      <text>
        <r>
          <rPr>
            <sz val="9"/>
            <color indexed="81"/>
            <rFont val="Tahoma"/>
            <family val="2"/>
          </rPr>
          <t>Beginning in FY2014, there are no longer special BARS accounts to designate interfund transactions from these functional categories.
If interfund transactions are recorded as journal entries only, they will not be reflected in the bank.  Interfund transactions therefore need to be added in to reconcile to reported revenues by fund (which include interfund transactions).</t>
        </r>
      </text>
    </comment>
    <comment ref="D36" authorId="0" shapeId="0">
      <text>
        <r>
          <rPr>
            <sz val="9"/>
            <color indexed="81"/>
            <rFont val="Tahoma"/>
            <family val="2"/>
          </rPr>
          <t xml:space="preserve">Enter the total reported on the statements as BARS 348.
</t>
        </r>
        <r>
          <rPr>
            <sz val="7"/>
            <color indexed="81"/>
            <rFont val="Tahoma"/>
            <family val="2"/>
          </rPr>
          <t>If interfund transactions are recorded as journal entries only, they will not be reflected in the bank.  Interfund transactions therefore need to be added in to reconcile to reported revenues by fund (which include interfund transactions).  Note that if interfund transactions result in bank account transfers, they still need to be added in because inter-bank transfers are subtracted out in the reconciling item above.</t>
        </r>
      </text>
    </comment>
    <comment ref="D37" authorId="0" shapeId="0">
      <text>
        <r>
          <rPr>
            <sz val="9"/>
            <color indexed="81"/>
            <rFont val="Tahoma"/>
            <family val="2"/>
          </rPr>
          <t xml:space="preserve">Enter the total reported on the statements as BARS 381.
</t>
        </r>
        <r>
          <rPr>
            <sz val="7"/>
            <color indexed="81"/>
            <rFont val="Tahoma"/>
            <family val="2"/>
          </rPr>
          <t>If interfund transactions are recorded as journal entries only, they will not be reflected in the bank.  Interfund transactions therefore need to be added in to reconcile to reported revenues by fund (which include interfund transactions).  Note that if interfund transactions result in bank account transfers, they still need to be added in because inter-bank transfers are subtracted out in the reconciling item above.</t>
        </r>
      </text>
    </comment>
    <comment ref="D38" authorId="0" shapeId="0">
      <text>
        <r>
          <rPr>
            <sz val="9"/>
            <color indexed="81"/>
            <rFont val="Tahoma"/>
            <family val="2"/>
          </rPr>
          <t xml:space="preserve">Enter the total reported on the statements as BARS 397.
</t>
        </r>
        <r>
          <rPr>
            <sz val="7"/>
            <color indexed="81"/>
            <rFont val="Tahoma"/>
            <family val="2"/>
          </rPr>
          <t>If interfund transactions are recorded as journal entries only, they will not be reflected in the bank.  Interfund transactions therefore need to be added in to reconcile to reported revenues by fund (which include interfund transactions).  Note that if interfund transactions result in bank account transfers, they still need to be added in because inter-bank transfers are subtracted out in the reconciling item above.</t>
        </r>
      </text>
    </comment>
    <comment ref="E38" authorId="3" shapeId="0">
      <text>
        <r>
          <rPr>
            <b/>
            <sz val="9"/>
            <color indexed="81"/>
            <rFont val="Tahoma"/>
            <family val="2"/>
          </rPr>
          <t>Nissa Musselman:</t>
        </r>
        <r>
          <rPr>
            <sz val="9"/>
            <color indexed="81"/>
            <rFont val="Tahoma"/>
            <family val="2"/>
          </rPr>
          <t xml:space="preserve">
pending gaap to cash as the main st tax credit should show here-I plugged it for now</t>
        </r>
      </text>
    </comment>
    <comment ref="D39" authorId="2" shapeId="0">
      <text>
        <r>
          <rPr>
            <sz val="9"/>
            <color indexed="81"/>
            <rFont val="Tahoma"/>
            <family val="2"/>
          </rPr>
          <t xml:space="preserve">Revenues received on behalf of the entity by a fiscal agent would not be included on the entity's own bank statements, but would be included as revenue on the financial statements.
The most common example is receipt of refunding bonds (BARS 393)
</t>
        </r>
      </text>
    </comment>
    <comment ref="D41" authorId="0" shapeId="0">
      <text>
        <r>
          <rPr>
            <sz val="9"/>
            <color indexed="81"/>
            <rFont val="Tahoma"/>
            <family val="2"/>
          </rPr>
          <t xml:space="preserve">As discussed in BARS Part 3, Chapter 1, section 3, revenue and expenditures should also be recognized when the government agrees to forgo revenue in exchange for reduction of expenses (offsetting agreement) or receipt of an asset (e.g., acquiring an asset in exchange for reduced permit fees, etc.). In such cases, the transaction should be recorded as if the cash was received and expended in order to reflect the legal transaction..
</t>
        </r>
        <r>
          <rPr>
            <sz val="7"/>
            <color indexed="81"/>
            <rFont val="Tahoma"/>
            <family val="2"/>
          </rPr>
          <t>The revenue will not be reflected on the bank because it comes about by agreeing to forgo revenue in exchange for canceling or offsetting an expenditure, rather than receipting funds.  Therefore it is an addition to the bank amount to reconcile with financial reporting.</t>
        </r>
      </text>
    </comment>
    <comment ref="D46" authorId="0" shapeId="0">
      <text>
        <r>
          <rPr>
            <sz val="9"/>
            <color indexed="81"/>
            <rFont val="Tahoma"/>
            <family val="2"/>
          </rPr>
          <t>Enter the total Deposits in Transit as of FYE by bank account on the Bank Stmts tab</t>
        </r>
        <r>
          <rPr>
            <sz val="9"/>
            <color indexed="81"/>
            <rFont val="Tahoma"/>
            <family val="2"/>
          </rPr>
          <t xml:space="preserve">.
</t>
        </r>
        <r>
          <rPr>
            <sz val="7"/>
            <color indexed="81"/>
            <rFont val="Tahoma"/>
            <family val="2"/>
          </rPr>
          <t>Deposits in transit represent cash received by the entity and therefore included as revenues for financial reporting, but not yet reflected on the bank.  Deposits in transit therefore need to be added to the bank to reconcile to financial reporting of revenues.</t>
        </r>
      </text>
    </comment>
    <comment ref="D47" authorId="0" shapeId="0">
      <text>
        <r>
          <rPr>
            <sz val="9"/>
            <color indexed="81"/>
            <rFont val="Tahoma"/>
            <family val="2"/>
          </rPr>
          <t>Enter other positive reconciling items by bank account on the Bank Stmts tab.</t>
        </r>
      </text>
    </comment>
    <comment ref="D48" authorId="0" shapeId="0">
      <text>
        <r>
          <rPr>
            <sz val="9"/>
            <color indexed="81"/>
            <rFont val="Tahoma"/>
            <family val="2"/>
          </rPr>
          <t>BARS Part 3, Chapter 5, section A allows for entities to use an open period for recording federal grant revenue, at their option.  This would allow them to recognize federal grant revenue received during the open period as prior year revenue if:
1. The revenue was budgeted in the prior year, and
2. An allowable grant expenditure was made during the open period (20 days for cities or 30 days for counties) or earlier.
This exception is applicable only to federal grants.  Also, we would expect the entity to disclose this accounting policy in Note 1.  The purpose of this open period is to simplify federal grant reporting.</t>
        </r>
      </text>
    </comment>
    <comment ref="D51" authorId="0" shapeId="0">
      <text>
        <r>
          <rPr>
            <sz val="9"/>
            <color indexed="81"/>
            <rFont val="Tahoma"/>
            <family val="2"/>
          </rPr>
          <t xml:space="preserve">Enter total Deposits in Transit for all accounts from the prior FYE reconciliation.
</t>
        </r>
        <r>
          <rPr>
            <sz val="7"/>
            <color indexed="81"/>
            <rFont val="Tahoma"/>
            <family val="2"/>
          </rPr>
          <t>Deposits in transit from the prior year will show as credits on the current bank statements, but will not be reflected in the current year statements, as they were already recorded for the prior period.</t>
        </r>
      </text>
    </comment>
    <comment ref="D53" authorId="0" shapeId="0">
      <text>
        <r>
          <rPr>
            <sz val="9"/>
            <color indexed="81"/>
            <rFont val="Tahoma"/>
            <family val="2"/>
          </rPr>
          <t>BARS Part 3, Chapter 5, section A allows for entities to use an open period for recording federal grant revenue, at their option.  This would allow them to recognize federal grant revenue received during the open period as prior year revenue if:
1. The revenue was budgeted in the prior year, and
2. An allowable grant expenditure was made during the open period (20 days for cities or 30 days for counties) or earlier.
This exception is applicable only to federal grants.  Also, we would expect the entity to disclose this accounting policy in Note 1.  The purpose of this open period is to simplify federal grant reporting.</t>
        </r>
      </text>
    </comment>
    <comment ref="D59" authorId="0" shapeId="0">
      <text>
        <r>
          <rPr>
            <sz val="9"/>
            <color indexed="81"/>
            <rFont val="Tahoma"/>
            <family val="2"/>
          </rPr>
          <t>Enter total revenue figures for all funds from the C4 and C5 statements.</t>
        </r>
      </text>
    </comment>
    <comment ref="D66" authorId="0" shapeId="0">
      <text>
        <r>
          <rPr>
            <sz val="9"/>
            <color indexed="81"/>
            <rFont val="Tahoma"/>
            <family val="2"/>
          </rPr>
          <t xml:space="preserve">Describe any known misstatements and input the affect of the proposed correction (a </t>
        </r>
        <r>
          <rPr>
            <u/>
            <sz val="9"/>
            <color indexed="81"/>
            <rFont val="Tahoma"/>
            <family val="2"/>
          </rPr>
          <t>negative correction if the FS are overstated</t>
        </r>
        <r>
          <rPr>
            <sz val="9"/>
            <color indexed="81"/>
            <rFont val="Tahoma"/>
            <family val="2"/>
          </rPr>
          <t xml:space="preserve"> and a </t>
        </r>
        <r>
          <rPr>
            <u/>
            <sz val="9"/>
            <color indexed="81"/>
            <rFont val="Tahoma"/>
            <family val="2"/>
          </rPr>
          <t>positive correction if the FS are understated</t>
        </r>
        <r>
          <rPr>
            <sz val="9"/>
            <color indexed="81"/>
            <rFont val="Tahoma"/>
            <family val="2"/>
          </rPr>
          <t>).</t>
        </r>
      </text>
    </comment>
    <comment ref="D72" authorId="0" shapeId="0">
      <text>
        <r>
          <rPr>
            <b/>
            <sz val="9"/>
            <color indexed="81"/>
            <rFont val="Tahoma"/>
            <family val="2"/>
          </rPr>
          <t>Differences can only be one, or a combination, of the following:
(A) Misstated financial statements.</t>
        </r>
        <r>
          <rPr>
            <sz val="9"/>
            <color indexed="81"/>
            <rFont val="Tahoma"/>
            <family val="2"/>
          </rPr>
          <t xml:space="preserve">  A </t>
        </r>
        <r>
          <rPr>
            <u/>
            <sz val="9"/>
            <color indexed="81"/>
            <rFont val="Tahoma"/>
            <family val="2"/>
          </rPr>
          <t>positive</t>
        </r>
        <r>
          <rPr>
            <sz val="9"/>
            <color indexed="81"/>
            <rFont val="Tahoma"/>
            <family val="2"/>
          </rPr>
          <t xml:space="preserve"> amount indicates that revenues are </t>
        </r>
        <r>
          <rPr>
            <u/>
            <sz val="9"/>
            <color indexed="81"/>
            <rFont val="Tahoma"/>
            <family val="2"/>
          </rPr>
          <t>overstated</t>
        </r>
        <r>
          <rPr>
            <sz val="9"/>
            <color indexed="81"/>
            <rFont val="Tahoma"/>
            <family val="2"/>
          </rPr>
          <t xml:space="preserve">; a </t>
        </r>
        <r>
          <rPr>
            <u/>
            <sz val="9"/>
            <color indexed="81"/>
            <rFont val="Tahoma"/>
            <family val="2"/>
          </rPr>
          <t>negative</t>
        </r>
        <r>
          <rPr>
            <sz val="9"/>
            <color indexed="81"/>
            <rFont val="Tahoma"/>
            <family val="2"/>
          </rPr>
          <t xml:space="preserve"> amount indicates revenues are </t>
        </r>
        <r>
          <rPr>
            <u/>
            <sz val="9"/>
            <color indexed="81"/>
            <rFont val="Tahoma"/>
            <family val="2"/>
          </rPr>
          <t>understated</t>
        </r>
        <r>
          <rPr>
            <sz val="9"/>
            <color indexed="81"/>
            <rFont val="Tahoma"/>
            <family val="2"/>
          </rPr>
          <t xml:space="preserve">.
</t>
        </r>
        <r>
          <rPr>
            <i/>
            <sz val="9"/>
            <color indexed="81"/>
            <rFont val="Tahoma"/>
            <family val="2"/>
          </rPr>
          <t>NOTE: a misstatement in revenues will relate to a corresponding misstatement in either beginning cash, expenditures or ending cash (assuming the statements foot).</t>
        </r>
        <r>
          <rPr>
            <b/>
            <i/>
            <sz val="9"/>
            <color indexed="81"/>
            <rFont val="Tahoma"/>
            <family val="2"/>
          </rPr>
          <t xml:space="preserve">
</t>
        </r>
        <r>
          <rPr>
            <b/>
            <sz val="9"/>
            <color indexed="81"/>
            <rFont val="Tahoma"/>
            <family val="2"/>
          </rPr>
          <t xml:space="preserve">
(B) Reconciling items that were not identified and included</t>
        </r>
        <r>
          <rPr>
            <sz val="9"/>
            <color indexed="81"/>
            <rFont val="Tahoma"/>
            <family val="2"/>
          </rPr>
          <t xml:space="preserve">.  For example, it is typically cost prohibitive to identify and include corrections of errors where money was deposited and then refunded and NSF checks.  Both of these situations would lead to </t>
        </r>
        <r>
          <rPr>
            <u/>
            <sz val="9"/>
            <color indexed="81"/>
            <rFont val="Tahoma"/>
            <family val="2"/>
          </rPr>
          <t>negative differences</t>
        </r>
        <r>
          <rPr>
            <sz val="9"/>
            <color indexed="81"/>
            <rFont val="Tahoma"/>
            <family val="2"/>
          </rPr>
          <t xml:space="preserve">.
</t>
        </r>
        <r>
          <rPr>
            <b/>
            <sz val="9"/>
            <color indexed="81"/>
            <rFont val="Tahoma"/>
            <family val="2"/>
          </rPr>
          <t>(C) Auditor mistakes in any of the inputs or reconciling items.</t>
        </r>
      </text>
    </comment>
    <comment ref="D77" authorId="0" shapeId="0">
      <text>
        <r>
          <rPr>
            <sz val="9"/>
            <color indexed="81"/>
            <rFont val="Tahoma"/>
            <family val="2"/>
          </rPr>
          <t xml:space="preserve">This number is the sum of all "total misc debits" and "total checks" row totals less total "Transfers OUT to other accounts" from the Input sheet.
</t>
        </r>
        <r>
          <rPr>
            <sz val="7"/>
            <color indexed="81"/>
            <rFont val="Tahoma"/>
            <family val="2"/>
          </rPr>
          <t>Transfers are subtracted from the total checks and total misc debits per the bank because it does not represent external receipts.  Rather, it represents clearing fund, transmittal account, cash management and investment activity.</t>
        </r>
      </text>
    </comment>
    <comment ref="D82" authorId="0" shapeId="0">
      <text>
        <r>
          <rPr>
            <sz val="9"/>
            <color indexed="81"/>
            <rFont val="Tahoma"/>
            <family val="2"/>
          </rPr>
          <t>NSF Checks Returned which show up as both a deposit and withdrawal (received and then returned) on the statements, but should not be recorded as revenue or expense on the statement (other than any bank fees).</t>
        </r>
      </text>
    </comment>
    <comment ref="D83" authorId="0" shapeId="0">
      <text>
        <r>
          <rPr>
            <sz val="9"/>
            <color indexed="81"/>
            <rFont val="Tahoma"/>
            <family val="2"/>
          </rPr>
          <t>Occasionally, a bank with accidentially deposit or withdraw an item twice or deposit or withdraw a wrong item to the entity's account.  In such cases, the incorrect item shows as a credit/debit on the bank statement and then is reversed to correct it.
These items are not expected to be significant, but would be identifiable on the statements.  Since they don't represent real activity, they should be removed from bank activity.</t>
        </r>
      </text>
    </comment>
    <comment ref="D84" authorId="0" shapeId="0">
      <text>
        <r>
          <rPr>
            <sz val="9"/>
            <color indexed="81"/>
            <rFont val="Tahoma"/>
            <family val="2"/>
          </rPr>
          <t xml:space="preserve">Enter any negative prior period adjustments reported on the statements </t>
        </r>
        <r>
          <rPr>
            <u/>
            <sz val="9"/>
            <color indexed="81"/>
            <rFont val="Tahoma"/>
            <family val="2"/>
          </rPr>
          <t>that were debits in the bank statement</t>
        </r>
        <r>
          <rPr>
            <sz val="9"/>
            <color indexed="81"/>
            <rFont val="Tahoma"/>
            <family val="2"/>
          </rPr>
          <t xml:space="preserve">s.
</t>
        </r>
        <r>
          <rPr>
            <sz val="7"/>
            <color indexed="81"/>
            <rFont val="Tahoma"/>
            <family val="2"/>
          </rPr>
          <t xml:space="preserve">Prior Period Adjustments reflected in current bank activity (refunding of overpayment by customer to the government) will not represent current period expenditures. Prior period adjustements which have no affect to current period bank statements and will not need to be reconciled as they are reported above the line.
</t>
        </r>
      </text>
    </comment>
    <comment ref="D85" authorId="0" shapeId="0">
      <text>
        <r>
          <rPr>
            <sz val="9"/>
            <color indexed="81"/>
            <rFont val="Tahoma"/>
            <family val="2"/>
          </rPr>
          <t xml:space="preserve">Enter the amount of revenues and expenditures that should be netted rather than being reported at a gross amount, such as:
</t>
        </r>
        <r>
          <rPr>
            <b/>
            <sz val="9"/>
            <color indexed="81"/>
            <rFont val="Tahoma"/>
            <family val="2"/>
          </rPr>
          <t>(1) Correction of errors where money was deposited and then refunded</t>
        </r>
        <r>
          <rPr>
            <sz val="9"/>
            <color indexed="81"/>
            <rFont val="Tahoma"/>
            <family val="2"/>
          </rPr>
          <t xml:space="preserve"> such as refunding overpayments to customers.
</t>
        </r>
        <r>
          <rPr>
            <b/>
            <sz val="9"/>
            <color indexed="81"/>
            <rFont val="Tahoma"/>
            <family val="2"/>
          </rPr>
          <t>(2) Vendor refunds</t>
        </r>
        <r>
          <rPr>
            <sz val="9"/>
            <color indexed="81"/>
            <rFont val="Tahoma"/>
            <family val="2"/>
          </rPr>
          <t xml:space="preserve"> which should be netted against the original expenditure.
</t>
        </r>
        <r>
          <rPr>
            <b/>
            <sz val="9"/>
            <color indexed="81"/>
            <rFont val="Tahoma"/>
            <family val="2"/>
          </rPr>
          <t>(3) Employee reimbursements</t>
        </r>
        <r>
          <rPr>
            <sz val="9"/>
            <color indexed="81"/>
            <rFont val="Tahoma"/>
            <family val="2"/>
          </rPr>
          <t xml:space="preserve"> where the employee is reimbursing the entity for personal expenses.
</t>
        </r>
        <r>
          <rPr>
            <i/>
            <sz val="9"/>
            <color indexed="81"/>
            <rFont val="Tahoma"/>
            <family val="2"/>
          </rPr>
          <t>This will likely be a trival amount.  The way to identify netting is to look for (1) total revenues or expenditures per the GL don't agree to the financial statements or (2) the GL contains negative revenue or negative expenditure transactions.</t>
        </r>
        <r>
          <rPr>
            <sz val="9"/>
            <color indexed="81"/>
            <rFont val="Tahoma"/>
            <family val="2"/>
          </rPr>
          <t xml:space="preserve">
</t>
        </r>
        <r>
          <rPr>
            <i/>
            <sz val="9"/>
            <color indexed="81"/>
            <rFont val="Tahoma"/>
            <family val="2"/>
          </rPr>
          <t xml:space="preserve">
Cash Basis BARS Manual part 3, chapter 1, section A prescribes that revenues and expenditures be reported at gross amounts </t>
        </r>
        <r>
          <rPr>
            <i/>
            <u/>
            <sz val="9"/>
            <color indexed="81"/>
            <rFont val="Tahoma"/>
            <family val="2"/>
          </rPr>
          <t>by account</t>
        </r>
        <r>
          <rPr>
            <i/>
            <sz val="9"/>
            <color indexed="81"/>
            <rFont val="Tahoma"/>
            <family val="2"/>
          </rPr>
          <t xml:space="preserve"> and not netted against each other.  Any significant netting other than for valid reasons stated above should therefore be evaluated.</t>
        </r>
        <r>
          <rPr>
            <i/>
            <sz val="7"/>
            <color indexed="81"/>
            <rFont val="Tahoma"/>
            <family val="2"/>
          </rPr>
          <t xml:space="preserve">
</t>
        </r>
        <r>
          <rPr>
            <sz val="7"/>
            <color indexed="81"/>
            <rFont val="Tahoma"/>
            <family val="2"/>
          </rPr>
          <t xml:space="preserve">
Revenues and expenditures netted for financial reporting will show as receipts and withdrawals on the bank and therefore need to be subtracted from the bank amount to reconcile to financial reporting.</t>
        </r>
      </text>
    </comment>
    <comment ref="D91" authorId="0" shapeId="0">
      <text>
        <r>
          <rPr>
            <sz val="10"/>
            <color indexed="81"/>
            <rFont val="Tahoma"/>
            <family val="2"/>
          </rPr>
          <t>Interfund expenditures will mirror total interfund revenues, so this amount is taken from the "Revenues" section above.
Interfund transactions will likely be recorded as journal entries only and not result in any bank activity.  Regardless, any inter-bank transfers are subtracted out above, so interfund transactions (whether resulting in bank activity or not) need to be added in to reconcile to expenditures for financial reporting.</t>
        </r>
      </text>
    </comment>
    <comment ref="E91" authorId="3" shapeId="0">
      <text>
        <r>
          <rPr>
            <b/>
            <sz val="9"/>
            <color indexed="81"/>
            <rFont val="Tahoma"/>
            <family val="2"/>
          </rPr>
          <t>Nissa Musselman:</t>
        </r>
        <r>
          <rPr>
            <sz val="9"/>
            <color indexed="81"/>
            <rFont val="Tahoma"/>
            <family val="2"/>
          </rPr>
          <t xml:space="preserve">
assume this excl 348 (internal service fund), 381 (loans), and 397 (xfer in) - I assume this because looking at past on what auditors did, they did not include those </t>
        </r>
      </text>
    </comment>
    <comment ref="D92" authorId="0" shapeId="0">
      <text>
        <r>
          <rPr>
            <sz val="10"/>
            <color indexed="81"/>
            <rFont val="Tahoma"/>
            <family val="2"/>
          </rPr>
          <t>As discussed in BARS Part 3, Chapter 1, section 3, revenue and expenditures should also be recognized when the government agrees to forgo revenue in exchange for reduction of expenses (offsetting agreement) or receipt of an asset (e.g., acquiring an asset in exchange for reduced permit fees, etc.). In such cases, the transaction should be recorded as if the cash was received and expended in order to reflect the legal transaction..
The expenditure will not be reflected on the bank because it comes about by agreeing to forgo revenue in exchange for canceling or offsetting an expenditure, rather than disbursing funds.  Therefore it is an addition to the bank amount to reconcile with financial reporting.</t>
        </r>
      </text>
    </comment>
    <comment ref="D93" authorId="0" shapeId="0">
      <text>
        <r>
          <rPr>
            <sz val="10"/>
            <color indexed="81"/>
            <rFont val="Tahoma"/>
            <family val="2"/>
          </rPr>
          <t>Expenditures made on behalf of the entity by a fiscal agent would not be included on the entity's own bank statements, but would be included as expenditures on the financial statements.
The most common example is refunding bonds (BARS 591 or 593)</t>
        </r>
      </text>
    </comment>
    <comment ref="D98" authorId="0" shapeId="0">
      <text>
        <r>
          <rPr>
            <sz val="9"/>
            <color indexed="81"/>
            <rFont val="Tahoma"/>
            <family val="2"/>
          </rPr>
          <t xml:space="preserve">Enter total outstanding checks/warrants by bank account on the Bank Stmts tab.
</t>
        </r>
        <r>
          <rPr>
            <sz val="7"/>
            <color indexed="81"/>
            <rFont val="Tahoma"/>
            <family val="2"/>
          </rPr>
          <t>Per BARS prescription, expenditures are considered to be made when the check or warrant is issued for financial reporting.  However, they will not be reflected on the bank until cashed by the payee.  Therefore, checks/warrants issued but not yet redeemed will need to be added to the bank balance to reconcile to financial reporting of expenditures.</t>
        </r>
      </text>
    </comment>
    <comment ref="D99" authorId="0" shapeId="0">
      <text>
        <r>
          <rPr>
            <sz val="9"/>
            <color indexed="81"/>
            <rFont val="Tahoma"/>
            <family val="2"/>
          </rPr>
          <t xml:space="preserve">Enter the amount of checks/warrants issued during the open period after FYE that were charged back to the current period (included in the financial statements as expenditures even though the warrants were issued after fiscal year end).
</t>
        </r>
        <r>
          <rPr>
            <i/>
            <sz val="9"/>
            <color indexed="81"/>
            <rFont val="Tahoma"/>
            <family val="2"/>
          </rPr>
          <t>Note: open period for Cities and Counties is defined by statute; see the "Misstated Reconciling Items" step in the Additional Risks folder for details.</t>
        </r>
        <r>
          <rPr>
            <sz val="9"/>
            <color indexed="81"/>
            <rFont val="Tahoma"/>
            <family val="2"/>
          </rPr>
          <t xml:space="preserve">
</t>
        </r>
        <r>
          <rPr>
            <sz val="7"/>
            <color indexed="81"/>
            <rFont val="Tahoma"/>
            <family val="2"/>
          </rPr>
          <t>These amounts will eventually be reflected on the bank, but are not included on the input sheet because they are occurring after FYE.  Therefore, they need to be added to reconcile the bank to financial reporting.</t>
        </r>
      </text>
    </comment>
    <comment ref="D104" authorId="0" shapeId="0">
      <text>
        <r>
          <rPr>
            <sz val="9"/>
            <color indexed="81"/>
            <rFont val="Tahoma"/>
            <family val="2"/>
          </rPr>
          <t xml:space="preserve">Enter total outstanding checks/warrants as of the prior year's FYE for all accounts.  This number should be available from the prior year's fiscal year end reconciliation.
</t>
        </r>
        <r>
          <rPr>
            <sz val="7"/>
            <color indexed="81"/>
            <rFont val="Tahoma"/>
            <family val="2"/>
          </rPr>
          <t>These amounts were reported as expenditures in the prior year, but were reflected in bank statements during the current period.  Therefore, prior year outstanding items need to be subtracted to reconcile to financial reporting.</t>
        </r>
      </text>
    </comment>
    <comment ref="D105" authorId="0" shapeId="0">
      <text>
        <r>
          <rPr>
            <sz val="9"/>
            <color indexed="81"/>
            <rFont val="Tahoma"/>
            <family val="2"/>
          </rPr>
          <t xml:space="preserve">Enter the amount of checks/warrants issued during the open period for the prior FY that were charged back to the prior period (included in the financial statements as expenditures of the prior year even though the warrants were issued during the current fiscal year).
</t>
        </r>
        <r>
          <rPr>
            <sz val="7"/>
            <color indexed="81"/>
            <rFont val="Tahoma"/>
            <family val="2"/>
          </rPr>
          <t>These amounts are included on the input sheet because they were issued during the current period.  However, because they were issued during the prior year's open period, the expenditure was reported during the prior year.  Therefore, they need to be subtracted to reconcile the bank to financial reporting.</t>
        </r>
      </text>
    </comment>
    <comment ref="D112" authorId="0" shapeId="0">
      <text>
        <r>
          <rPr>
            <sz val="9"/>
            <color indexed="81"/>
            <rFont val="Tahoma"/>
            <family val="2"/>
          </rPr>
          <t>Enter total expenditure figures for all funds from the C4 and C5 statements.</t>
        </r>
      </text>
    </comment>
    <comment ref="D119" authorId="0" shapeId="0">
      <text>
        <r>
          <rPr>
            <sz val="9"/>
            <color indexed="81"/>
            <rFont val="Tahoma"/>
            <family val="2"/>
          </rPr>
          <t xml:space="preserve">Describe any known misstatements and input the affect of the proposed correction (a </t>
        </r>
        <r>
          <rPr>
            <u/>
            <sz val="9"/>
            <color indexed="81"/>
            <rFont val="Tahoma"/>
            <family val="2"/>
          </rPr>
          <t>negative correction if the FS are overstated</t>
        </r>
        <r>
          <rPr>
            <sz val="9"/>
            <color indexed="81"/>
            <rFont val="Tahoma"/>
            <family val="2"/>
          </rPr>
          <t xml:space="preserve"> and a </t>
        </r>
        <r>
          <rPr>
            <u/>
            <sz val="9"/>
            <color indexed="81"/>
            <rFont val="Tahoma"/>
            <family val="2"/>
          </rPr>
          <t>positive correction if the FS are understated</t>
        </r>
        <r>
          <rPr>
            <sz val="9"/>
            <color indexed="81"/>
            <rFont val="Tahoma"/>
            <family val="2"/>
          </rPr>
          <t>).</t>
        </r>
      </text>
    </comment>
    <comment ref="D125" authorId="0" shapeId="0">
      <text>
        <r>
          <rPr>
            <b/>
            <sz val="9"/>
            <color indexed="81"/>
            <rFont val="Tahoma"/>
            <family val="2"/>
          </rPr>
          <t>Differences can only be one, or a combination, of the following:
(A) Misstated financial statements.</t>
        </r>
        <r>
          <rPr>
            <sz val="9"/>
            <color indexed="81"/>
            <rFont val="Tahoma"/>
            <family val="2"/>
          </rPr>
          <t xml:space="preserve">  A </t>
        </r>
        <r>
          <rPr>
            <u/>
            <sz val="9"/>
            <color indexed="81"/>
            <rFont val="Tahoma"/>
            <family val="2"/>
          </rPr>
          <t>positive</t>
        </r>
        <r>
          <rPr>
            <sz val="9"/>
            <color indexed="81"/>
            <rFont val="Tahoma"/>
            <family val="2"/>
          </rPr>
          <t xml:space="preserve"> amount indicates that expenditures are </t>
        </r>
        <r>
          <rPr>
            <u/>
            <sz val="9"/>
            <color indexed="81"/>
            <rFont val="Tahoma"/>
            <family val="2"/>
          </rPr>
          <t>overstated</t>
        </r>
        <r>
          <rPr>
            <sz val="9"/>
            <color indexed="81"/>
            <rFont val="Tahoma"/>
            <family val="2"/>
          </rPr>
          <t xml:space="preserve">; a </t>
        </r>
        <r>
          <rPr>
            <u/>
            <sz val="9"/>
            <color indexed="81"/>
            <rFont val="Tahoma"/>
            <family val="2"/>
          </rPr>
          <t>negative</t>
        </r>
        <r>
          <rPr>
            <sz val="9"/>
            <color indexed="81"/>
            <rFont val="Tahoma"/>
            <family val="2"/>
          </rPr>
          <t xml:space="preserve"> amount indicates that expenditures are </t>
        </r>
        <r>
          <rPr>
            <u/>
            <sz val="9"/>
            <color indexed="81"/>
            <rFont val="Tahoma"/>
            <family val="2"/>
          </rPr>
          <t>understated</t>
        </r>
        <r>
          <rPr>
            <sz val="9"/>
            <color indexed="81"/>
            <rFont val="Tahoma"/>
            <family val="2"/>
          </rPr>
          <t xml:space="preserve"> on the financial statements.
</t>
        </r>
        <r>
          <rPr>
            <i/>
            <sz val="9"/>
            <color indexed="81"/>
            <rFont val="Tahoma"/>
            <family val="2"/>
          </rPr>
          <t>NOTE: a misstatement in expenditures will relate to a corresponding misstatement in either beginning cash, revenues or ending cash (assuming the statements foot).</t>
        </r>
        <r>
          <rPr>
            <b/>
            <i/>
            <sz val="9"/>
            <color indexed="81"/>
            <rFont val="Tahoma"/>
            <family val="2"/>
          </rPr>
          <t xml:space="preserve">
</t>
        </r>
        <r>
          <rPr>
            <b/>
            <sz val="9"/>
            <color indexed="81"/>
            <rFont val="Tahoma"/>
            <family val="2"/>
          </rPr>
          <t xml:space="preserve">
(B) Reconciling items that were not identified and included</t>
        </r>
        <r>
          <rPr>
            <sz val="9"/>
            <color indexed="81"/>
            <rFont val="Tahoma"/>
            <family val="2"/>
          </rPr>
          <t xml:space="preserve">.  For example, it is typically cost prohibitive to identify and include corrections of errors where money was deposited and then refunded and NSF checks (both of these situations would lead to negative differences).
</t>
        </r>
        <r>
          <rPr>
            <b/>
            <sz val="9"/>
            <color indexed="81"/>
            <rFont val="Tahoma"/>
            <family val="2"/>
          </rPr>
          <t>(C) Auditor mistakes in any of the inputs or reconciling items.</t>
        </r>
      </text>
    </comment>
    <comment ref="D129" authorId="0" shapeId="0">
      <text>
        <r>
          <rPr>
            <sz val="9"/>
            <color indexed="81"/>
            <rFont val="Tahoma"/>
            <family val="2"/>
          </rPr>
          <t>This number is the sum of all final "ending balance" cells from the Input sheet.</t>
        </r>
      </text>
    </comment>
    <comment ref="D132" authorId="0" shapeId="0">
      <text>
        <r>
          <rPr>
            <sz val="9"/>
            <color indexed="81"/>
            <rFont val="Tahoma"/>
            <family val="2"/>
          </rPr>
          <t xml:space="preserve">Enter the total Deposits in Transit (undeposited receipts) as of FYE for all accounts.  This number should be available from the entity's fiscal year end reconciliations.
</t>
        </r>
        <r>
          <rPr>
            <i/>
            <sz val="9"/>
            <color indexed="81"/>
            <rFont val="Tahoma"/>
            <family val="2"/>
          </rPr>
          <t>NOTE:</t>
        </r>
        <r>
          <rPr>
            <sz val="9"/>
            <color indexed="81"/>
            <rFont val="Tahoma"/>
            <family val="2"/>
          </rPr>
          <t xml:space="preserve"> RCW 43.09.240 requires that deposits be made within 24 hours of receipt, unless an exception is granted by the treasurer to allow deposits once per week.  For this reason, deposits in transit should not be very large.
</t>
        </r>
        <r>
          <rPr>
            <sz val="7"/>
            <color indexed="81"/>
            <rFont val="Tahoma"/>
            <family val="2"/>
          </rPr>
          <t xml:space="preserve">
Deposits in transit represent cash received by the entity and therefore included as revenues for financial reporting, but not yet reflected on the bank.  Deposits in transit therefore need to be added to the bank to reconcile to financial reporting of the ending cash balance.</t>
        </r>
      </text>
    </comment>
    <comment ref="D134" authorId="0" shapeId="0">
      <text>
        <r>
          <rPr>
            <sz val="9"/>
            <color indexed="81"/>
            <rFont val="Tahoma"/>
            <family val="2"/>
          </rPr>
          <t xml:space="preserve">Enter total outstanding checks/warrants as of FYE for all accounts.  This number should be available from the entity's fiscal year end reconciliations.
</t>
        </r>
        <r>
          <rPr>
            <sz val="7"/>
            <color indexed="81"/>
            <rFont val="Tahoma"/>
            <family val="2"/>
          </rPr>
          <t xml:space="preserve">Per BARS prescription, expenditures are considered to be made when the check or warrant is issued for financial reporting.  However, they will not be reflected on the bank until cashed by the payee.  Therefore, checks/warrants issued but not yet redeemed will need to be subtracted from the bank balance to reconcile to financial reporting of the ending cash balance.
</t>
        </r>
        <r>
          <rPr>
            <sz val="9"/>
            <color indexed="81"/>
            <rFont val="Tahoma"/>
            <family val="2"/>
          </rPr>
          <t xml:space="preserve">
</t>
        </r>
      </text>
    </comment>
    <comment ref="D136" authorId="2" shapeId="0">
      <text>
        <r>
          <rPr>
            <sz val="9"/>
            <color indexed="81"/>
            <rFont val="Tahoma"/>
            <family val="2"/>
          </rPr>
          <t>Enter total open period expenditures.  This number should equal total expenditures made (warrants issued) during the open period.
Note: open period for Cities and Counties is defined by statute; see the "Misstated Reconciling Items" step in the Additional Risks folder for details.
Per BARS prescription, expenditures are considered to be made when the check or warrant is issued for financial reporting.  However, they will not be reflected on the bank until cashed by the payee.  Therefore, checks/warrants issued but not yet redeemed will need to be subtracted from the bank balance to reconcile to financial reporting of the ending cash balance</t>
        </r>
      </text>
    </comment>
    <comment ref="D137" authorId="0" shapeId="0">
      <text>
        <r>
          <rPr>
            <sz val="9"/>
            <color indexed="81"/>
            <rFont val="Tahoma"/>
            <family val="2"/>
          </rPr>
          <t>We would expect that imprest, petty cash and change funds are reported at the authorized balance on the GL.  All activity from imprest, change and petty cash funds should be reflected in the entity's other bank accounts as money is deposited or expenditures reimbursed to bring the funds back to their authorized balance.  All such accounts should be able to be reconciled to the authorized balance at all times.  For this reason, we wouldn't need to obtain statements or do counts - just add the authorized amount to the ending balance.
See BARS Part 3, ch 3, section C for details on our expectations regarding these types of funds.</t>
        </r>
      </text>
    </comment>
    <comment ref="D138" authorId="0" shapeId="0">
      <text>
        <r>
          <rPr>
            <sz val="9"/>
            <color indexed="81"/>
            <rFont val="Tahoma"/>
            <family val="2"/>
          </rPr>
          <t>Cash and investments held on behalf of the entity by a fiscal agent would not be included on the entity's own bank statements, but would be included as cash on the financial statements.
The most common example is bond funds held by a trustee</t>
        </r>
      </text>
    </comment>
    <comment ref="D139" authorId="0" shapeId="0">
      <text>
        <r>
          <rPr>
            <sz val="9"/>
            <color indexed="81"/>
            <rFont val="Tahoma"/>
            <family val="2"/>
          </rPr>
          <t>BARS Part 3, Chapter 5, section A allows for entities to use an open period for recording federal grant revenue, at their option.  This would allow them to recognize federal grant revenue received during the open period as prior year revenue if:
1. The revenue was budgeted in the prior year, and
2. An allowable grant expenditure was made during the open period (20 days for cities or 30 days for counties) or earlier.
This exception is applicable only to federal grants.  Also, we would expect the entity to disclose this accounting policy in Note 1.  The purpose of this open period is to simplify federal grant reporting.</t>
        </r>
      </text>
    </comment>
    <comment ref="D144" authorId="0" shapeId="0">
      <text>
        <r>
          <rPr>
            <sz val="9"/>
            <color indexed="81"/>
            <rFont val="Tahoma"/>
            <family val="2"/>
          </rPr>
          <t>Enter the "Ending Net Cash and Investments" line item the same line item for all funds on C-4 and C-5 statements.</t>
        </r>
      </text>
    </comment>
    <comment ref="D147" authorId="0" shapeId="0">
      <text>
        <r>
          <rPr>
            <sz val="9"/>
            <color indexed="81"/>
            <rFont val="Tahoma"/>
            <family val="2"/>
          </rPr>
          <t xml:space="preserve">Describe any known misstatements and input the affect of the proposed correction (a </t>
        </r>
        <r>
          <rPr>
            <u/>
            <sz val="9"/>
            <color indexed="81"/>
            <rFont val="Tahoma"/>
            <family val="2"/>
          </rPr>
          <t>negative correction if the FS are overstated</t>
        </r>
        <r>
          <rPr>
            <sz val="9"/>
            <color indexed="81"/>
            <rFont val="Tahoma"/>
            <family val="2"/>
          </rPr>
          <t xml:space="preserve"> and a </t>
        </r>
        <r>
          <rPr>
            <u/>
            <sz val="9"/>
            <color indexed="81"/>
            <rFont val="Tahoma"/>
            <family val="2"/>
          </rPr>
          <t>positive correction if the FS are understated</t>
        </r>
        <r>
          <rPr>
            <sz val="9"/>
            <color indexed="81"/>
            <rFont val="Tahoma"/>
            <family val="2"/>
          </rPr>
          <t>).</t>
        </r>
      </text>
    </comment>
    <comment ref="D152" authorId="0" shapeId="0">
      <text>
        <r>
          <rPr>
            <b/>
            <sz val="9"/>
            <color indexed="81"/>
            <rFont val="Tahoma"/>
            <family val="2"/>
          </rPr>
          <t>Differences can only be one, or a combination, of the following:
(A) Misstated financial statements.</t>
        </r>
        <r>
          <rPr>
            <sz val="9"/>
            <color indexed="81"/>
            <rFont val="Tahoma"/>
            <family val="2"/>
          </rPr>
          <t xml:space="preserve">  A </t>
        </r>
        <r>
          <rPr>
            <u/>
            <sz val="9"/>
            <color indexed="81"/>
            <rFont val="Tahoma"/>
            <family val="2"/>
          </rPr>
          <t>positive</t>
        </r>
        <r>
          <rPr>
            <sz val="9"/>
            <color indexed="81"/>
            <rFont val="Tahoma"/>
            <family val="2"/>
          </rPr>
          <t xml:space="preserve"> amount indicates that cash &amp; investments are </t>
        </r>
        <r>
          <rPr>
            <u/>
            <sz val="9"/>
            <color indexed="81"/>
            <rFont val="Tahoma"/>
            <family val="2"/>
          </rPr>
          <t>overstated</t>
        </r>
        <r>
          <rPr>
            <sz val="9"/>
            <color indexed="81"/>
            <rFont val="Tahoma"/>
            <family val="2"/>
          </rPr>
          <t xml:space="preserve">; a </t>
        </r>
        <r>
          <rPr>
            <u/>
            <sz val="9"/>
            <color indexed="81"/>
            <rFont val="Tahoma"/>
            <family val="2"/>
          </rPr>
          <t>negative</t>
        </r>
        <r>
          <rPr>
            <sz val="9"/>
            <color indexed="81"/>
            <rFont val="Tahoma"/>
            <family val="2"/>
          </rPr>
          <t xml:space="preserve"> amount indicates that cash &amp; investments are </t>
        </r>
        <r>
          <rPr>
            <u/>
            <sz val="9"/>
            <color indexed="81"/>
            <rFont val="Tahoma"/>
            <family val="2"/>
          </rPr>
          <t>understated</t>
        </r>
        <r>
          <rPr>
            <sz val="9"/>
            <color indexed="81"/>
            <rFont val="Tahoma"/>
            <family val="2"/>
          </rPr>
          <t xml:space="preserve"> on the financial statements.</t>
        </r>
        <r>
          <rPr>
            <b/>
            <sz val="9"/>
            <color indexed="81"/>
            <rFont val="Tahoma"/>
            <family val="2"/>
          </rPr>
          <t xml:space="preserve">
</t>
        </r>
        <r>
          <rPr>
            <i/>
            <sz val="9"/>
            <color indexed="81"/>
            <rFont val="Tahoma"/>
            <family val="2"/>
          </rPr>
          <t xml:space="preserve">NOTE: a misstatement in ending cash will relate to a corresponding misstatement in either beginning cash, revenues or expenditures (assuming the statements foot).
</t>
        </r>
        <r>
          <rPr>
            <b/>
            <sz val="9"/>
            <color indexed="81"/>
            <rFont val="Tahoma"/>
            <family val="2"/>
          </rPr>
          <t xml:space="preserve">
(B) Reconciling items that were not identified and included</t>
        </r>
        <r>
          <rPr>
            <sz val="9"/>
            <color indexed="81"/>
            <rFont val="Tahoma"/>
            <family val="2"/>
          </rPr>
          <t xml:space="preserve">.
</t>
        </r>
        <r>
          <rPr>
            <b/>
            <sz val="9"/>
            <color indexed="81"/>
            <rFont val="Tahoma"/>
            <family val="2"/>
          </rPr>
          <t>(C) Auditor mistakes in any of the inputs or reconciling items.</t>
        </r>
      </text>
    </comment>
  </commentList>
</comments>
</file>

<file path=xl/comments2.xml><?xml version="1.0" encoding="utf-8"?>
<comments xmlns="http://schemas.openxmlformats.org/spreadsheetml/2006/main">
  <authors>
    <author>Tecca, Brandon (SAO)</author>
    <author>Nissa Musselman</author>
  </authors>
  <commentList>
    <comment ref="E4" authorId="0" shapeId="0">
      <text>
        <r>
          <rPr>
            <sz val="10"/>
            <color indexed="81"/>
            <rFont val="Tahoma"/>
            <family val="2"/>
          </rPr>
          <t>This is the row labeled "General Ledger Totals (18)".</t>
        </r>
      </text>
    </comment>
    <comment ref="G4" authorId="0" shapeId="0">
      <text>
        <r>
          <rPr>
            <sz val="10"/>
            <color indexed="81"/>
            <rFont val="Tahoma"/>
            <family val="2"/>
          </rPr>
          <t>This is the difference between the financial statement amounts (as reported on the SCH06) and the reported bank statement activity + reconciling items.</t>
        </r>
      </text>
    </comment>
    <comment ref="C13" authorId="0" shapeId="0">
      <text>
        <r>
          <rPr>
            <sz val="10"/>
            <color indexed="81"/>
            <rFont val="Tahoma"/>
            <family val="2"/>
          </rPr>
          <t>Receipts are total bank credits less inter-bank transfers in.</t>
        </r>
      </text>
    </comment>
    <comment ref="E13" authorId="0" shapeId="0">
      <text>
        <r>
          <rPr>
            <sz val="10"/>
            <color indexed="81"/>
            <rFont val="Tahoma"/>
            <family val="2"/>
          </rPr>
          <t>Disbursements are total bank debits less inter-bank transfers out.</t>
        </r>
      </text>
    </comment>
    <comment ref="C29" authorId="1" shapeId="0">
      <text>
        <r>
          <rPr>
            <b/>
            <sz val="9"/>
            <color indexed="81"/>
            <rFont val="Tahoma"/>
            <family val="2"/>
          </rPr>
          <t>Nissa Musselman:</t>
        </r>
        <r>
          <rPr>
            <sz val="9"/>
            <color indexed="81"/>
            <rFont val="Tahoma"/>
            <family val="2"/>
          </rPr>
          <t xml:space="preserve">
+os dep
+os court dep</t>
        </r>
      </text>
    </comment>
    <comment ref="E31" authorId="1" shapeId="0">
      <text>
        <r>
          <rPr>
            <b/>
            <sz val="9"/>
            <color indexed="81"/>
            <rFont val="Tahoma"/>
            <family val="2"/>
          </rPr>
          <t>Nissa Musselman:</t>
        </r>
        <r>
          <rPr>
            <sz val="9"/>
            <color indexed="81"/>
            <rFont val="Tahoma"/>
            <family val="2"/>
          </rPr>
          <t xml:space="preserve">
+os payroll &amp; ap warrants/incl 13 cent minor adj (from sched 7)
+os treas checks (from nis recon)
+os court checks (from carrie recon)
+open period ap (from cash recon sprdsht)
+open period treas chks (from nis recon)</t>
        </r>
      </text>
    </comment>
    <comment ref="A33" authorId="1" shapeId="0">
      <text>
        <r>
          <rPr>
            <b/>
            <sz val="9"/>
            <color indexed="81"/>
            <rFont val="Tahoma"/>
            <family val="2"/>
          </rPr>
          <t>Nissa Musselman:</t>
        </r>
        <r>
          <rPr>
            <sz val="9"/>
            <color indexed="81"/>
            <rFont val="Tahoma"/>
            <family val="2"/>
          </rPr>
          <t xml:space="preserve">
voids</t>
        </r>
      </text>
    </comment>
    <comment ref="C33" authorId="1" shapeId="0">
      <text>
        <r>
          <rPr>
            <b/>
            <sz val="9"/>
            <color indexed="81"/>
            <rFont val="Tahoma"/>
            <family val="2"/>
          </rPr>
          <t>Nissa Musselman:</t>
        </r>
        <r>
          <rPr>
            <sz val="9"/>
            <color indexed="81"/>
            <rFont val="Tahoma"/>
            <family val="2"/>
          </rPr>
          <t xml:space="preserve">
voided ap &amp; pr warrants (from sched 7)
voided treas chks</t>
        </r>
      </text>
    </comment>
    <comment ref="A34" authorId="1" shapeId="0">
      <text>
        <r>
          <rPr>
            <b/>
            <sz val="9"/>
            <color indexed="81"/>
            <rFont val="Tahoma"/>
            <family val="2"/>
          </rPr>
          <t>Nissa Musselman:</t>
        </r>
        <r>
          <rPr>
            <sz val="9"/>
            <color indexed="81"/>
            <rFont val="Tahoma"/>
            <family val="2"/>
          </rPr>
          <t xml:space="preserve">
journal entries</t>
        </r>
      </text>
    </comment>
    <comment ref="B36" authorId="1" shapeId="0">
      <text>
        <r>
          <rPr>
            <b/>
            <sz val="9"/>
            <color indexed="81"/>
            <rFont val="Tahoma"/>
            <family val="2"/>
          </rPr>
          <t>Nissa Musselman:</t>
        </r>
        <r>
          <rPr>
            <sz val="9"/>
            <color indexed="81"/>
            <rFont val="Tahoma"/>
            <family val="2"/>
          </rPr>
          <t xml:space="preserve">
beginning petty cash, change, adv travel, &amp; imprest</t>
        </r>
      </text>
    </comment>
    <comment ref="G36" authorId="1" shapeId="0">
      <text>
        <r>
          <rPr>
            <b/>
            <sz val="9"/>
            <color indexed="81"/>
            <rFont val="Tahoma"/>
            <family val="2"/>
          </rPr>
          <t>Nissa Musselman:</t>
        </r>
        <r>
          <rPr>
            <sz val="9"/>
            <color indexed="81"/>
            <rFont val="Tahoma"/>
            <family val="2"/>
          </rPr>
          <t xml:space="preserve">
ending petty cash, change, adv travel, &amp; imprest</t>
        </r>
      </text>
    </comment>
    <comment ref="B37" authorId="1" shapeId="0">
      <text>
        <r>
          <rPr>
            <b/>
            <sz val="9"/>
            <color indexed="81"/>
            <rFont val="Tahoma"/>
            <family val="2"/>
          </rPr>
          <t>Nissa Musselman:</t>
        </r>
        <r>
          <rPr>
            <sz val="9"/>
            <color indexed="81"/>
            <rFont val="Tahoma"/>
            <family val="2"/>
          </rPr>
          <t xml:space="preserve">
941 partial</t>
        </r>
      </text>
    </comment>
    <comment ref="C37" authorId="1" shapeId="0">
      <text>
        <r>
          <rPr>
            <b/>
            <sz val="9"/>
            <color indexed="81"/>
            <rFont val="Tahoma"/>
            <family val="2"/>
          </rPr>
          <t>Nissa Musselman:</t>
        </r>
        <r>
          <rPr>
            <sz val="9"/>
            <color indexed="81"/>
            <rFont val="Tahoma"/>
            <family val="2"/>
          </rPr>
          <t xml:space="preserve">
+941 partial
+open period ar
+2 os bank err adj</t>
        </r>
      </text>
    </comment>
    <comment ref="C42" authorId="1" shapeId="0">
      <text>
        <r>
          <rPr>
            <b/>
            <sz val="9"/>
            <color indexed="81"/>
            <rFont val="Tahoma"/>
            <family val="2"/>
          </rPr>
          <t>Nissa Musselman:</t>
        </r>
        <r>
          <rPr>
            <sz val="9"/>
            <color indexed="81"/>
            <rFont val="Tahoma"/>
            <family val="2"/>
          </rPr>
          <t xml:space="preserve">
should match sched 1 </t>
        </r>
      </text>
    </comment>
    <comment ref="E42" authorId="1" shapeId="0">
      <text>
        <r>
          <rPr>
            <b/>
            <sz val="9"/>
            <color indexed="81"/>
            <rFont val="Tahoma"/>
            <family val="2"/>
          </rPr>
          <t>Nissa Musselman:</t>
        </r>
        <r>
          <rPr>
            <sz val="9"/>
            <color indexed="81"/>
            <rFont val="Tahoma"/>
            <family val="2"/>
          </rPr>
          <t xml:space="preserve">
should tie to sched 1</t>
        </r>
      </text>
    </comment>
    <comment ref="G42" authorId="1" shapeId="0">
      <text>
        <r>
          <rPr>
            <b/>
            <sz val="9"/>
            <color indexed="81"/>
            <rFont val="Tahoma"/>
            <family val="2"/>
          </rPr>
          <t>Nissa Musselman:</t>
        </r>
        <r>
          <rPr>
            <sz val="9"/>
            <color indexed="81"/>
            <rFont val="Tahoma"/>
            <family val="2"/>
          </rPr>
          <t xml:space="preserve">
pending gaap to cash</t>
        </r>
      </text>
    </comment>
  </commentList>
</comments>
</file>

<file path=xl/comments3.xml><?xml version="1.0" encoding="utf-8"?>
<comments xmlns="http://schemas.openxmlformats.org/spreadsheetml/2006/main">
  <authors>
    <author>Scott DeViney</author>
    <author>Kelly White</author>
  </authors>
  <commentList>
    <comment ref="B1" authorId="0" shapeId="0">
      <text>
        <r>
          <rPr>
            <sz val="8"/>
            <color indexed="81"/>
            <rFont val="Tahoma"/>
            <family val="2"/>
          </rPr>
          <t xml:space="preserve">The formula sums up the appropriate cell for each row where the column A text matches, which is why it is important you </t>
        </r>
        <r>
          <rPr>
            <b/>
            <sz val="8"/>
            <color indexed="81"/>
            <rFont val="Tahoma"/>
            <family val="2"/>
          </rPr>
          <t>don't change the titles in column A ("Beginning Balance", "Total Credits", etc), because that's what the formula is based on.</t>
        </r>
        <r>
          <rPr>
            <sz val="8"/>
            <color indexed="81"/>
            <rFont val="Tahoma"/>
            <family val="2"/>
          </rPr>
          <t xml:space="preserve">
The formula searches down to row 1000, so you should only need to modify it if you have to input more than 99 separate bank accounts.</t>
        </r>
      </text>
    </comment>
    <comment ref="Q1" authorId="0" shapeId="0">
      <text>
        <r>
          <rPr>
            <sz val="8"/>
            <color indexed="81"/>
            <rFont val="Tahoma"/>
            <family val="2"/>
          </rPr>
          <t xml:space="preserve">The formula sums up the appropriate cell for each row where the column AA text matches, which is why it is important you </t>
        </r>
        <r>
          <rPr>
            <b/>
            <sz val="8"/>
            <color indexed="81"/>
            <rFont val="Tahoma"/>
            <family val="2"/>
          </rPr>
          <t>don't change the titles in column AA, because that's what the formula is based on.</t>
        </r>
        <r>
          <rPr>
            <sz val="8"/>
            <color indexed="81"/>
            <rFont val="Tahoma"/>
            <family val="2"/>
          </rPr>
          <t xml:space="preserve">
The formula searches down to row 1000, so you should only need to modify it if you have to input more than 99 separate bank accounts.</t>
        </r>
      </text>
    </comment>
    <comment ref="Q6" authorId="1" shapeId="0">
      <text>
        <r>
          <rPr>
            <b/>
            <sz val="9"/>
            <color indexed="81"/>
            <rFont val="Tahoma"/>
            <family val="2"/>
          </rPr>
          <t>Kelly White:</t>
        </r>
        <r>
          <rPr>
            <sz val="9"/>
            <color indexed="81"/>
            <rFont val="Tahoma"/>
            <family val="2"/>
          </rPr>
          <t xml:space="preserve">
This total plus the os pr/ap checks plus the revolving funds amount ($15285) should balance to the Adj Bank Balance on the bank reconciliation</t>
        </r>
      </text>
    </comment>
    <comment ref="J18" authorId="1" shapeId="0">
      <text>
        <r>
          <rPr>
            <b/>
            <sz val="9"/>
            <color indexed="81"/>
            <rFont val="Tahoma"/>
            <family val="2"/>
          </rPr>
          <t>Kelly White:</t>
        </r>
        <r>
          <rPr>
            <sz val="9"/>
            <color indexed="81"/>
            <rFont val="Tahoma"/>
            <family val="2"/>
          </rPr>
          <t xml:space="preserve">
Plus deposit to LGIP</t>
        </r>
      </text>
    </comment>
    <comment ref="G36" authorId="1" shapeId="0">
      <text>
        <r>
          <rPr>
            <b/>
            <sz val="9"/>
            <color indexed="81"/>
            <rFont val="Tahoma"/>
            <family val="2"/>
          </rPr>
          <t>Kelly White:</t>
        </r>
        <r>
          <rPr>
            <sz val="9"/>
            <color indexed="81"/>
            <rFont val="Tahoma"/>
            <family val="2"/>
          </rPr>
          <t xml:space="preserve">
$1,150,000.00 Bond purchase
$1,000,000.00 Cover AP</t>
        </r>
      </text>
    </comment>
    <comment ref="K36" authorId="1" shapeId="0">
      <text>
        <r>
          <rPr>
            <b/>
            <sz val="9"/>
            <color indexed="81"/>
            <rFont val="Tahoma"/>
            <family val="2"/>
          </rPr>
          <t>Kelly White:</t>
        </r>
        <r>
          <rPr>
            <sz val="9"/>
            <color indexed="81"/>
            <rFont val="Tahoma"/>
            <family val="2"/>
          </rPr>
          <t xml:space="preserve">
Transfer to cover AP</t>
        </r>
      </text>
    </comment>
    <comment ref="L36" authorId="1" shapeId="0">
      <text>
        <r>
          <rPr>
            <b/>
            <sz val="9"/>
            <color indexed="81"/>
            <rFont val="Tahoma"/>
            <family val="2"/>
          </rPr>
          <t>Kelly White:</t>
        </r>
        <r>
          <rPr>
            <sz val="9"/>
            <color indexed="81"/>
            <rFont val="Tahoma"/>
            <family val="2"/>
          </rPr>
          <t xml:space="preserve">
Transfer to cover AP</t>
        </r>
      </text>
    </comment>
    <comment ref="M36" authorId="1" shapeId="0">
      <text>
        <r>
          <rPr>
            <b/>
            <sz val="9"/>
            <color indexed="81"/>
            <rFont val="Tahoma"/>
            <family val="2"/>
          </rPr>
          <t>Kelly White:</t>
        </r>
        <r>
          <rPr>
            <sz val="9"/>
            <color indexed="81"/>
            <rFont val="Tahoma"/>
            <family val="2"/>
          </rPr>
          <t xml:space="preserve">
2 transfers to cover AP</t>
        </r>
      </text>
    </comment>
  </commentList>
</comments>
</file>

<file path=xl/comments4.xml><?xml version="1.0" encoding="utf-8"?>
<comments xmlns="http://schemas.openxmlformats.org/spreadsheetml/2006/main">
  <authors>
    <author>Scott DeViney</author>
  </authors>
  <commentList>
    <comment ref="A5" authorId="0" shapeId="0">
      <text>
        <r>
          <rPr>
            <sz val="9"/>
            <color indexed="81"/>
            <rFont val="Tahoma"/>
            <family val="2"/>
          </rPr>
          <t>Indicate the type of revolving fund, such as Petty Cash, Change Fund or Imprest Checking.</t>
        </r>
      </text>
    </comment>
  </commentList>
</comments>
</file>

<file path=xl/comments5.xml><?xml version="1.0" encoding="utf-8"?>
<comments xmlns="http://schemas.openxmlformats.org/spreadsheetml/2006/main">
  <authors>
    <author>Patricia Russman</author>
  </authors>
  <commentList>
    <comment ref="C22" authorId="0" shapeId="0">
      <text>
        <r>
          <rPr>
            <b/>
            <sz val="9"/>
            <color indexed="81"/>
            <rFont val="Tahoma"/>
            <family val="2"/>
          </rPr>
          <t>Patricia Russman:</t>
        </r>
        <r>
          <rPr>
            <sz val="9"/>
            <color indexed="81"/>
            <rFont val="Tahoma"/>
            <family val="2"/>
          </rPr>
          <t xml:space="preserve">
Maturity of Bond 409
</t>
        </r>
      </text>
    </comment>
    <comment ref="H22" authorId="0" shapeId="0">
      <text>
        <r>
          <rPr>
            <b/>
            <sz val="9"/>
            <color indexed="81"/>
            <rFont val="Tahoma"/>
            <family val="2"/>
          </rPr>
          <t>Patricia Russman:</t>
        </r>
        <r>
          <rPr>
            <sz val="9"/>
            <color indexed="81"/>
            <rFont val="Tahoma"/>
            <family val="2"/>
          </rPr>
          <t xml:space="preserve">
Bond Maturity 813 plus Bank Wire
</t>
        </r>
      </text>
    </comment>
    <comment ref="K22" authorId="0" shapeId="0">
      <text>
        <r>
          <rPr>
            <b/>
            <sz val="9"/>
            <color indexed="81"/>
            <rFont val="Tahoma"/>
            <family val="2"/>
          </rPr>
          <t>Patricia Russman:</t>
        </r>
        <r>
          <rPr>
            <sz val="9"/>
            <color indexed="81"/>
            <rFont val="Tahoma"/>
            <family val="2"/>
          </rPr>
          <t xml:space="preserve">
Bond Maturity 422
</t>
        </r>
      </text>
    </comment>
    <comment ref="C23" authorId="0" shapeId="0">
      <text>
        <r>
          <rPr>
            <b/>
            <sz val="9"/>
            <color indexed="81"/>
            <rFont val="Tahoma"/>
            <family val="2"/>
          </rPr>
          <t>Patricia Russman:</t>
        </r>
        <r>
          <rPr>
            <sz val="9"/>
            <color indexed="81"/>
            <rFont val="Tahoma"/>
            <family val="2"/>
          </rPr>
          <t xml:space="preserve">
Purchase Bond 733
</t>
        </r>
      </text>
    </comment>
    <comment ref="H23" authorId="0" shapeId="0">
      <text>
        <r>
          <rPr>
            <b/>
            <sz val="9"/>
            <color indexed="81"/>
            <rFont val="Tahoma"/>
            <family val="2"/>
          </rPr>
          <t>Patricia Russman:</t>
        </r>
        <r>
          <rPr>
            <sz val="9"/>
            <color indexed="81"/>
            <rFont val="Tahoma"/>
            <family val="2"/>
          </rPr>
          <t xml:space="preserve">
Purchase Bond 506 &amp; 507
</t>
        </r>
      </text>
    </comment>
    <comment ref="K23" authorId="0" shapeId="0">
      <text>
        <r>
          <rPr>
            <b/>
            <sz val="9"/>
            <color indexed="81"/>
            <rFont val="Tahoma"/>
            <family val="2"/>
          </rPr>
          <t>Patricia Russman:</t>
        </r>
        <r>
          <rPr>
            <sz val="9"/>
            <color indexed="81"/>
            <rFont val="Tahoma"/>
            <family val="2"/>
          </rPr>
          <t xml:space="preserve">
Purchase Bond 273</t>
        </r>
      </text>
    </comment>
  </commentList>
</comments>
</file>

<file path=xl/sharedStrings.xml><?xml version="1.0" encoding="utf-8"?>
<sst xmlns="http://schemas.openxmlformats.org/spreadsheetml/2006/main" count="906" uniqueCount="396">
  <si>
    <t>January</t>
  </si>
  <si>
    <t>February</t>
  </si>
  <si>
    <t>March</t>
  </si>
  <si>
    <t>April</t>
  </si>
  <si>
    <t>May</t>
  </si>
  <si>
    <t>June</t>
  </si>
  <si>
    <t>July</t>
  </si>
  <si>
    <t>August</t>
  </si>
  <si>
    <t>September</t>
  </si>
  <si>
    <t>October</t>
  </si>
  <si>
    <t>November</t>
  </si>
  <si>
    <t>December</t>
  </si>
  <si>
    <t>Beginning Balance</t>
  </si>
  <si>
    <t>Ending Balance</t>
  </si>
  <si>
    <t>Total Credits</t>
  </si>
  <si>
    <t>Per Bank Statements</t>
  </si>
  <si>
    <t>Bank Account</t>
  </si>
  <si>
    <t>Period Total</t>
  </si>
  <si>
    <t>Totals for All Accounts</t>
  </si>
  <si>
    <t>Per Financial Statements</t>
  </si>
  <si>
    <t>Beginning Cash &amp; Investments Balance</t>
  </si>
  <si>
    <t>Difference</t>
  </si>
  <si>
    <t>ADD: Deposits in Transit</t>
  </si>
  <si>
    <t>LESS: Outstanding Items</t>
  </si>
  <si>
    <r>
      <t>[</t>
    </r>
    <r>
      <rPr>
        <b/>
        <sz val="8"/>
        <color rgb="FFFF0000"/>
        <rFont val="Arial"/>
        <family val="2"/>
      </rPr>
      <t>TYPE of account</t>
    </r>
    <r>
      <rPr>
        <b/>
        <sz val="8"/>
        <rFont val="Arial"/>
        <family val="2"/>
      </rPr>
      <t>] - [</t>
    </r>
    <r>
      <rPr>
        <b/>
        <sz val="8"/>
        <color rgb="FFFF0000"/>
        <rFont val="Arial"/>
        <family val="2"/>
      </rPr>
      <t>NAME of account</t>
    </r>
    <r>
      <rPr>
        <b/>
        <sz val="8"/>
        <rFont val="Arial"/>
        <family val="2"/>
      </rPr>
      <t>]</t>
    </r>
  </si>
  <si>
    <t>Net Reconciling Items</t>
  </si>
  <si>
    <t>Per Financial Statements:</t>
  </si>
  <si>
    <t>Revenues (Fund Resources Arising from Cash Transactions)</t>
  </si>
  <si>
    <t>Expenditures (Fund Uses Arising from Cash Transactions)</t>
  </si>
  <si>
    <t>Total Revenues per Financial Statements</t>
  </si>
  <si>
    <t>Total Expenditures per Financial Statements</t>
  </si>
  <si>
    <t>Transfers OUT to other accounts</t>
  </si>
  <si>
    <t>Transfers IN from other accounts</t>
  </si>
  <si>
    <t>INSTRUCTIONS:</t>
  </si>
  <si>
    <t>Auditor Notes</t>
  </si>
  <si>
    <t>* For transmittal accounts, we would expect total checks + total misc debits = transfers OUT to other accounts.</t>
  </si>
  <si>
    <t>* For clearing funds, we would expect total credits = transfers IN from other accounts.</t>
  </si>
  <si>
    <r>
      <t xml:space="preserve">* Total credits, checks and misc debits should be listed on statements; these amounts will </t>
    </r>
    <r>
      <rPr>
        <u/>
        <sz val="8"/>
        <rFont val="Arial"/>
        <family val="2"/>
      </rPr>
      <t>include</t>
    </r>
    <r>
      <rPr>
        <sz val="8"/>
        <rFont val="Arial"/>
        <family val="2"/>
      </rPr>
      <t xml:space="preserve"> transfers in and out.</t>
    </r>
  </si>
  <si>
    <t>* Transfers in and out to other entity bank accounts may need to be individually identified and added up by the auditor.</t>
  </si>
  <si>
    <t>* Delete whatever templates you don't need.  To add room for another account, COPY the template and insert copied lines below.</t>
  </si>
  <si>
    <r>
      <t xml:space="preserve">ADD: Other </t>
    </r>
    <r>
      <rPr>
        <u/>
        <sz val="10"/>
        <rFont val="Arial"/>
        <family val="2"/>
      </rPr>
      <t>Positive</t>
    </r>
    <r>
      <rPr>
        <sz val="10"/>
        <rFont val="Arial"/>
        <family val="2"/>
      </rPr>
      <t xml:space="preserve"> Reconciling Items</t>
    </r>
  </si>
  <si>
    <r>
      <t xml:space="preserve">LESS: Other </t>
    </r>
    <r>
      <rPr>
        <u/>
        <sz val="10"/>
        <rFont val="Arial"/>
        <family val="2"/>
      </rPr>
      <t>Negative</t>
    </r>
    <r>
      <rPr>
        <sz val="10"/>
        <rFont val="Arial"/>
        <family val="2"/>
      </rPr>
      <t xml:space="preserve"> Reconciling Items</t>
    </r>
  </si>
  <si>
    <r>
      <rPr>
        <b/>
        <sz val="10"/>
        <rFont val="Arial"/>
        <family val="2"/>
      </rPr>
      <t>Expected Variances:</t>
    </r>
    <r>
      <rPr>
        <sz val="10"/>
        <rFont val="Arial"/>
        <family val="2"/>
      </rPr>
      <t xml:space="preserve">  See "Cash Flow Reconciliation" step</t>
    </r>
  </si>
  <si>
    <t>Conclusion:</t>
  </si>
  <si>
    <t>Transfer Check Figure</t>
  </si>
  <si>
    <t>Number of Accounts</t>
  </si>
  <si>
    <t>Reconciled Balance</t>
  </si>
  <si>
    <t>ADD: Other Positive Reconciling Items</t>
  </si>
  <si>
    <t>LESS: Other Negative Reconciling Items</t>
  </si>
  <si>
    <t>* Input reconciling items from each of the entity's period end bank reconciliation</t>
  </si>
  <si>
    <t>* Obtain statements for each month of the fiscal year for all bank accounts used during the year.  Also obtain the entity's year end reconciliations.</t>
  </si>
  <si>
    <t>Purpose:</t>
  </si>
  <si>
    <t>To list all revolving funds.</t>
  </si>
  <si>
    <t>Note:</t>
  </si>
  <si>
    <t>The general ledger should always show these funds at their authorized balance.</t>
  </si>
  <si>
    <t>Type</t>
  </si>
  <si>
    <t>Revolving Account Name</t>
  </si>
  <si>
    <t>Custodian</t>
  </si>
  <si>
    <t>Authorized Balance</t>
  </si>
  <si>
    <r>
      <t>Purpose:</t>
    </r>
    <r>
      <rPr>
        <sz val="10"/>
        <rFont val="Arial"/>
        <family val="2"/>
      </rPr>
      <t xml:space="preserve">  </t>
    </r>
  </si>
  <si>
    <t>To reconcile reported beginning cash balance, revenues, expenditures and ending cash balance to bank statements.</t>
  </si>
  <si>
    <t>Unexplained Difference</t>
  </si>
  <si>
    <t>Expected Revenues</t>
  </si>
  <si>
    <t>Known misstatements</t>
  </si>
  <si>
    <t>Net affect of known misstatements</t>
  </si>
  <si>
    <t>Items to account for revenues without a bank affect:</t>
  </si>
  <si>
    <t>Expected Expenditures</t>
  </si>
  <si>
    <t>Expected Cash &amp; Investments</t>
  </si>
  <si>
    <t>Items to account for expenditures without a bank affect:</t>
  </si>
  <si>
    <t>From Bank Stmts tab</t>
  </si>
  <si>
    <t>See BARS Part 3, chapter 3.8.8 for details on revolving fund requirements</t>
  </si>
  <si>
    <t>Reported Operating and Nonoperating Revenues</t>
  </si>
  <si>
    <t>Reported Fiduciary Revenues and Other Increases and Financing Sources</t>
  </si>
  <si>
    <t>FROM BANK STATEMENTS</t>
  </si>
  <si>
    <t>Total Debits</t>
  </si>
  <si>
    <t>Bank Reconciliations (per year end bank reconciliation)</t>
  </si>
  <si>
    <t>Check Figures</t>
  </si>
  <si>
    <t>Correction of Bank Deposit/Withdrawal Errors</t>
  </si>
  <si>
    <t>Revenues and Expenditures reported Net</t>
  </si>
  <si>
    <t>Transfers between bank accounts</t>
  </si>
  <si>
    <t xml:space="preserve">Interfund Taxes, Licenses, Fees and other charges </t>
  </si>
  <si>
    <t xml:space="preserve">Year-end reconciling items </t>
  </si>
  <si>
    <t>Other Negative Reconciling Items at FYE</t>
  </si>
  <si>
    <t>Offsetting Agreements</t>
  </si>
  <si>
    <t>Disbursements by Fiscal Agent</t>
  </si>
  <si>
    <t>Bank Reconciliation - Ending Cash &amp; Investment Balance</t>
  </si>
  <si>
    <t>Known misstatements (included on aggregation of misstatements)</t>
  </si>
  <si>
    <t>ADD: Reported decreases Without Cash Outflows</t>
  </si>
  <si>
    <t>ADD: FYE Positive Reconciling Items (Deposits in Transit)</t>
  </si>
  <si>
    <t>Federal Grant Open Period</t>
  </si>
  <si>
    <t>Reconciling Items between the Bank and Financial Statements:</t>
  </si>
  <si>
    <t>From Audited PY Reconciliation</t>
  </si>
  <si>
    <t xml:space="preserve">ADD: FYE Negative Reconciling Items (Outstanding Items &amp; Open Period) </t>
  </si>
  <si>
    <t>Total Non-reported Cash Outflows</t>
  </si>
  <si>
    <t>LESS: Non-reported Cash Outflows</t>
  </si>
  <si>
    <t>Total Reported decreases without Cash Outflows</t>
  </si>
  <si>
    <t>Items to reduce bank activity to revenue receipts for period</t>
  </si>
  <si>
    <t>Items that do not reflect actual expenditures per the financials for the period</t>
  </si>
  <si>
    <t>Bank &amp; Investment Account name
(1)</t>
  </si>
  <si>
    <t>Beginning Bank Balance
(2)</t>
  </si>
  <si>
    <t>Deposits</t>
  </si>
  <si>
    <t>Withdrawals</t>
  </si>
  <si>
    <t>Ending Bank Balance
(7)</t>
  </si>
  <si>
    <t>Receipts
(3)</t>
  </si>
  <si>
    <t>Inter-bank transfers In
(4)</t>
  </si>
  <si>
    <t>Disbursements
(5)</t>
  </si>
  <si>
    <t>Inter-bank transfers out
(6)</t>
  </si>
  <si>
    <t>Check Figure</t>
  </si>
  <si>
    <t>Bank Totals</t>
  </si>
  <si>
    <t>RECONCILING ITEMS</t>
  </si>
  <si>
    <t>Beginning Deposits in Transit (8)</t>
  </si>
  <si>
    <t>Year-end Deposits in Transit (9)</t>
  </si>
  <si>
    <t>Beginning Outstanding &amp; Open Period Items (10)</t>
  </si>
  <si>
    <t>Year-end Outstanding &amp; Open Period Items (11)</t>
  </si>
  <si>
    <t>NSF Checks (12)</t>
  </si>
  <si>
    <t>Cancellation of unredeemed checks/warrants (13)</t>
  </si>
  <si>
    <t>Interfund transactions (14)</t>
  </si>
  <si>
    <t>Netted Transactions (15)</t>
  </si>
  <si>
    <t>Authorized balance of revolving, petty cash and change funds (16)</t>
  </si>
  <si>
    <t>Other Reconciling Items, net (17)</t>
  </si>
  <si>
    <t>Reconciling Items Totals</t>
  </si>
  <si>
    <t>FROM GENERAL LEDGER</t>
  </si>
  <si>
    <t>Beginning Cash &amp; Investment Balance
(19)</t>
  </si>
  <si>
    <t xml:space="preserve">Revenues &amp; Other Increases
(20) </t>
  </si>
  <si>
    <t>Expenditures &amp; Other Decreases
(21)</t>
  </si>
  <si>
    <t>Ending Cash &amp; Investment Balance
(22)</t>
  </si>
  <si>
    <t>General Ledger Totals (18)</t>
  </si>
  <si>
    <t>Unreconciled Variance (23)</t>
  </si>
  <si>
    <t>[account 6]</t>
  </si>
  <si>
    <t>[account 7]</t>
  </si>
  <si>
    <t>[account 8]</t>
  </si>
  <si>
    <t>[account 9]</t>
  </si>
  <si>
    <t>[account 10]</t>
  </si>
  <si>
    <t>SCHEDULE SUMMARY OF BANK RECONCLIATION</t>
  </si>
  <si>
    <t>Current year – Prior Period Adjustments, Net</t>
  </si>
  <si>
    <t>Prior year – Audited Financial Statements</t>
  </si>
  <si>
    <t>LESS: Bank statement increases which are not financial statement revenue</t>
  </si>
  <si>
    <t>TOTAL:</t>
  </si>
  <si>
    <t>ADD: Financial statement revenue which does not appear on the bank statements</t>
  </si>
  <si>
    <t>Current FS: Beginning Cash and Investments</t>
  </si>
  <si>
    <t>Total Revenues, Other Increases, Additions</t>
  </si>
  <si>
    <t>Total Expenditures, Other Decreases, Deductions</t>
  </si>
  <si>
    <t>Per FS
(C4 + C5)</t>
  </si>
  <si>
    <t>Ending Cash and Investments</t>
  </si>
  <si>
    <t>Schedule 6
Unreconciled Variance</t>
  </si>
  <si>
    <t>Per Schedule 6
FS Amounts</t>
  </si>
  <si>
    <t>BARS Cash Manual – Schedule 6 instructions</t>
  </si>
  <si>
    <t>From 'Bank Statements'</t>
  </si>
  <si>
    <t>Beginning bank balances</t>
  </si>
  <si>
    <t>From CY Financial Statements</t>
  </si>
  <si>
    <t>Expected Beginning Balance</t>
  </si>
  <si>
    <t>(+) PY Positive Reconciling Items</t>
  </si>
  <si>
    <t>(–) PY Reconciling Items</t>
  </si>
  <si>
    <t>(+/–) Reverse CY Prior Periods Adjustments, Net</t>
  </si>
  <si>
    <t>Reported Beginning Balance (C4 + C5)</t>
  </si>
  <si>
    <t>Reported Beginning Balance (SCH06)</t>
  </si>
  <si>
    <t>Inter-bank transfers in per SCH06</t>
  </si>
  <si>
    <t>Net reconciling items per Summary tab</t>
  </si>
  <si>
    <t>Net reconciling items per SCH06</t>
  </si>
  <si>
    <t>Total revenues per C4 + C5</t>
  </si>
  <si>
    <t>Total revenues per SCH06</t>
  </si>
  <si>
    <r>
      <t>To input the Schedule 6; these amounts calculate the 'Summary' tab mem figures.  The reconciling items (</t>
    </r>
    <r>
      <rPr>
        <b/>
        <sz val="11"/>
        <color theme="1"/>
        <rFont val="Calibri"/>
        <family val="2"/>
        <scheme val="minor"/>
      </rPr>
      <t>if correct</t>
    </r>
    <r>
      <rPr>
        <sz val="11"/>
        <color theme="1"/>
        <rFont val="Calibri"/>
        <family val="2"/>
        <scheme val="minor"/>
      </rPr>
      <t>) will need to be input into the 'Summary' tab'.</t>
    </r>
  </si>
  <si>
    <t>Transfers between bank accounts have been removed.</t>
  </si>
  <si>
    <t>Difference per Summary tab</t>
  </si>
  <si>
    <t>Unreconciled variance per Schedule 6</t>
  </si>
  <si>
    <t>Total Credits Per Bank Statements</t>
  </si>
  <si>
    <t>Total Debits Per Bank Statements</t>
  </si>
  <si>
    <t>Transfers IN between bank accounts per Bank Statements</t>
  </si>
  <si>
    <t>Transfers OUT between bank accounts per Bank Statements</t>
  </si>
  <si>
    <t>Inter-bank transfers out per SCH06</t>
  </si>
  <si>
    <t>Total expenditures per C4 + C5</t>
  </si>
  <si>
    <t>Total expenditures per SCH06</t>
  </si>
  <si>
    <t>Ending cash per C4 + C5</t>
  </si>
  <si>
    <t>Ending Cash per Schedule 6</t>
  </si>
  <si>
    <t>Unexplained difference per Summary tab</t>
  </si>
  <si>
    <t>Comparison to Schedule 6</t>
  </si>
  <si>
    <t>Schedule 6 is the government's summary of their own bank reconciliations. Therefore, it can be used as an aid for trouble-shooting and working with the client on any unexplained differences.  However, it is NOT a source document.  If further procedures are needed to follow-up on variances or reconciling items, auditors should go to source accounting records.</t>
  </si>
  <si>
    <t>Petty Cash</t>
  </si>
  <si>
    <t>Petty Cash - GF</t>
  </si>
  <si>
    <t>Change Fund</t>
  </si>
  <si>
    <t>Change Funds - GF</t>
  </si>
  <si>
    <t>Advance Travel</t>
  </si>
  <si>
    <t xml:space="preserve">Nissa Musselman (City Accountant) </t>
  </si>
  <si>
    <t xml:space="preserve">Imprest </t>
  </si>
  <si>
    <t>Court Imprest (Revolving Account)</t>
  </si>
  <si>
    <t>Kristy Bonagofsky (Police Administrative Assistant)</t>
  </si>
  <si>
    <t>Drug Seizure</t>
  </si>
  <si>
    <t>Tracy Murphy (Police Sergeant-Special Ops)</t>
  </si>
  <si>
    <t>Petty Cash - YL</t>
  </si>
  <si>
    <t>Bob Turnmire (Canal Maintenance Supervisor)</t>
  </si>
  <si>
    <t>Petty Cash - LT</t>
  </si>
  <si>
    <t>Janice Lamb (Utility Customer Service Supervisor)</t>
  </si>
  <si>
    <t>Petty Cash - WW</t>
  </si>
  <si>
    <t>Scott Paul (Office Coordinator)</t>
  </si>
  <si>
    <t>KeyBank</t>
  </si>
  <si>
    <t>Local Govt Investment Pool</t>
  </si>
  <si>
    <t>US Bank Investment-Bond Purchase 2510</t>
  </si>
  <si>
    <t>US Bank Investment-Bonds 009</t>
  </si>
  <si>
    <t>Municipal Court - 8944</t>
  </si>
  <si>
    <t>Treasurer's Checking 8928</t>
  </si>
  <si>
    <t>LGIP</t>
  </si>
  <si>
    <t>Municipal Court 8944</t>
  </si>
  <si>
    <t>US Bank Bond 2510</t>
  </si>
  <si>
    <t>US Bank Bond 009</t>
  </si>
  <si>
    <t>Warrant Clearing Account 8910</t>
  </si>
  <si>
    <t>*NOT a misstatement*</t>
  </si>
  <si>
    <t xml:space="preserve">These are transfers that have a bank effect. Since warrants/checks are written between the accounts, they are not an "official" transfer. Because of this, revenues and expenditures are doubled and must be reduced by a reconciling item. This tab is for documentation purposes and to assist with future cash flows. </t>
  </si>
  <si>
    <t>Other Reconciling Items</t>
  </si>
  <si>
    <t xml:space="preserve">This is an adjustment from the open period. It happens every December for the Muni Court account. They reconcile to the ending register balance. </t>
  </si>
  <si>
    <t xml:space="preserve">The additions and deductions do not equal the ending amount on the statements. This ending value is determined by any discounts/premiums applicable when the bond was purchased. The difference is an adjustment to ensure the reconciled balance matches the statement. </t>
  </si>
  <si>
    <r>
      <t xml:space="preserve">LESS: </t>
    </r>
    <r>
      <rPr>
        <b/>
        <sz val="10"/>
        <rFont val="Arial"/>
        <family val="2"/>
      </rPr>
      <t>Prior Year</t>
    </r>
    <r>
      <rPr>
        <sz val="10"/>
        <rFont val="Arial"/>
        <family val="2"/>
      </rPr>
      <t xml:space="preserve"> Positive Reconciling Items (Deposits in Transit)</t>
    </r>
  </si>
  <si>
    <r>
      <t>Grant/Revenue-Open Period-</t>
    </r>
    <r>
      <rPr>
        <b/>
        <sz val="10"/>
        <rFont val="Arial"/>
        <family val="2"/>
      </rPr>
      <t>prior year</t>
    </r>
  </si>
  <si>
    <t>os deposits, from nissa bank to book</t>
  </si>
  <si>
    <r>
      <t xml:space="preserve">LESS: </t>
    </r>
    <r>
      <rPr>
        <b/>
        <sz val="10"/>
        <rFont val="Arial"/>
        <family val="2"/>
      </rPr>
      <t>PRIOR YEAR</t>
    </r>
    <r>
      <rPr>
        <sz val="10"/>
        <rFont val="Arial"/>
        <family val="2"/>
      </rPr>
      <t xml:space="preserve"> Negative Reconciling Items (Outstanding Items &amp; Open Period) </t>
    </r>
  </si>
  <si>
    <r>
      <t xml:space="preserve">Other Reconciling Items from </t>
    </r>
    <r>
      <rPr>
        <b/>
        <sz val="10"/>
        <rFont val="Arial"/>
        <family val="2"/>
      </rPr>
      <t>prior year</t>
    </r>
  </si>
  <si>
    <t>KeyBank Warrant Acct</t>
  </si>
  <si>
    <t>TOTAL</t>
  </si>
  <si>
    <t>os treas chks &amp; os pr/ap warrants</t>
  </si>
  <si>
    <t>bank errors-net, from nissa bank to book</t>
  </si>
  <si>
    <r>
      <t xml:space="preserve">ADD: Authorized balance of Revolving Funds </t>
    </r>
    <r>
      <rPr>
        <sz val="10"/>
        <color rgb="FFFF0000"/>
        <rFont val="Arial"/>
        <family val="2"/>
      </rPr>
      <t>(from revolving funds tab)</t>
    </r>
  </si>
  <si>
    <t>from bank statements tab</t>
  </si>
  <si>
    <t>from Bank Stmts tab</t>
  </si>
  <si>
    <t>Pending</t>
  </si>
  <si>
    <t>Internal Service Fund Charges (BARS 348)</t>
  </si>
  <si>
    <t>sched 1; BARS 348 (funds 501 &amp; 502)</t>
  </si>
  <si>
    <t>Interfund Loans Received (BARS 381)</t>
  </si>
  <si>
    <t>sched 1; BARS 381 (gf 001.019 to 403)</t>
  </si>
  <si>
    <t>Transfers In (BARS 397)</t>
  </si>
  <si>
    <t>Certain Positive Prior Period Adjustments (BARS 388.80)</t>
  </si>
  <si>
    <t>Deposits in Transit at FYE</t>
  </si>
  <si>
    <t>Other Positive Reconciling Items at FYE</t>
  </si>
  <si>
    <r>
      <t>Deposits in Transit-</t>
    </r>
    <r>
      <rPr>
        <b/>
        <sz val="10"/>
        <rFont val="Arial"/>
        <family val="2"/>
      </rPr>
      <t>prior year</t>
    </r>
  </si>
  <si>
    <t>from Bank Stmts tab (treas acct &amp; court)</t>
  </si>
  <si>
    <t>from Bank Stmts tab (bank errors)</t>
  </si>
  <si>
    <t>from cash recon (open period receivables)</t>
  </si>
  <si>
    <t>NSF Checks</t>
  </si>
  <si>
    <t>Cancellation of Unredeemed (VOIDED) Warrants</t>
  </si>
  <si>
    <t>Certain Negative Prior Period Adjustments (BARS 588.80)</t>
  </si>
  <si>
    <r>
      <rPr>
        <sz val="10"/>
        <rFont val="Arial"/>
        <family val="2"/>
      </rPr>
      <t>from sched 1 (BARS 388.80)</t>
    </r>
    <r>
      <rPr>
        <sz val="10"/>
        <color rgb="FFFF0000"/>
        <rFont val="Arial"/>
        <family val="2"/>
      </rPr>
      <t>; on my schedule as negative-revisit this</t>
    </r>
  </si>
  <si>
    <t>pending-should match interfund revenues above</t>
  </si>
  <si>
    <r>
      <t xml:space="preserve">sched 1; BARS 397 (could use sched 11 too) </t>
    </r>
    <r>
      <rPr>
        <sz val="10"/>
        <color rgb="FFFF3300"/>
        <rFont val="Arial"/>
        <family val="2"/>
      </rPr>
      <t>pending gaap to cash</t>
    </r>
  </si>
  <si>
    <t>pending</t>
  </si>
  <si>
    <r>
      <t>from bank stmts tab</t>
    </r>
    <r>
      <rPr>
        <sz val="10"/>
        <color rgb="FFFF3300"/>
        <rFont val="Arial"/>
        <family val="2"/>
      </rPr>
      <t xml:space="preserve"> (os treas chks &amp; pr/ap warrants &amp; court)</t>
    </r>
  </si>
  <si>
    <t>FYE open period expenditures (treas chks)</t>
  </si>
  <si>
    <r>
      <rPr>
        <b/>
        <sz val="10"/>
        <rFont val="Arial"/>
        <family val="2"/>
      </rPr>
      <t>Prior year</t>
    </r>
    <r>
      <rPr>
        <sz val="10"/>
        <rFont val="Arial"/>
        <family val="2"/>
      </rPr>
      <t xml:space="preserve"> open period expenditures</t>
    </r>
  </si>
  <si>
    <t>Reported Operating and Nonoperating Expenditures (C4)</t>
  </si>
  <si>
    <t>Reported Fiduciary Expenditures and Other Decreasing and Financing Uses (C5)</t>
  </si>
  <si>
    <t>From Revolvling Funds tab</t>
  </si>
  <si>
    <t>ADD: Open Period Revenue</t>
  </si>
  <si>
    <t>LESS: Open Period Expenditures</t>
  </si>
  <si>
    <t>From Sched 1; ending cash</t>
  </si>
  <si>
    <t>pending/refunding bonds 2010 &amp; 2015 (right now, this # is sched 1 - 599s)</t>
  </si>
  <si>
    <t>pending my determination</t>
  </si>
  <si>
    <t>At month end, the Municipal Court writes a check to the City Treasury Account. This check amount can be obtained from the bank statement. Record the check amount here as a transfer out that way you have the number for reconciling item.</t>
  </si>
  <si>
    <t>checks written to city &amp; dep in city treas acct</t>
  </si>
  <si>
    <r>
      <t>Other Positive Reconciling Items-</t>
    </r>
    <r>
      <rPr>
        <b/>
        <sz val="10"/>
        <rFont val="Arial"/>
        <family val="2"/>
      </rPr>
      <t>prior year</t>
    </r>
  </si>
  <si>
    <r>
      <t>Outstanding Items from</t>
    </r>
    <r>
      <rPr>
        <b/>
        <sz val="10"/>
        <rFont val="Arial"/>
        <family val="2"/>
      </rPr>
      <t xml:space="preserve"> prior year</t>
    </r>
  </si>
  <si>
    <t>FYE open period expenditures (regular)</t>
  </si>
  <si>
    <t>Outstanding Items at FYE (warrants, treas chks, court)</t>
  </si>
  <si>
    <r>
      <t xml:space="preserve">Interfund Transactions </t>
    </r>
    <r>
      <rPr>
        <sz val="10"/>
        <color rgb="FFFF3300"/>
        <rFont val="Arial"/>
        <family val="2"/>
      </rPr>
      <t>(assume not to incl 348/381/397 like in rev section but ???)</t>
    </r>
  </si>
  <si>
    <t>Cancelation of Unredeemed Warrants per Summary tab</t>
  </si>
  <si>
    <t>Cancelation of Unredeemed Warrants per SCH06</t>
  </si>
  <si>
    <t>CHK #</t>
  </si>
  <si>
    <t>VOID DATE</t>
  </si>
  <si>
    <t>AMOUNT</t>
  </si>
  <si>
    <t>JE</t>
  </si>
  <si>
    <t>REASON</t>
  </si>
  <si>
    <t>DATE</t>
  </si>
  <si>
    <t>INFO</t>
  </si>
  <si>
    <t>REV</t>
  </si>
  <si>
    <t>EXP</t>
  </si>
  <si>
    <t>401</t>
  </si>
  <si>
    <t>ACCRUE INT ON 2013 WTR REFUNDING/UNSURE ON THIS</t>
  </si>
  <si>
    <t>2101-015</t>
  </si>
  <si>
    <t>2102-015</t>
  </si>
  <si>
    <t>2103-015</t>
  </si>
  <si>
    <t>2104-015</t>
  </si>
  <si>
    <t>NA</t>
  </si>
  <si>
    <t>402</t>
  </si>
  <si>
    <t>ACCRUED INTEREST ONLY/BOND PD OFF IN 2021</t>
  </si>
  <si>
    <t>2101-016</t>
  </si>
  <si>
    <t>2102-016</t>
  </si>
  <si>
    <t>2103-016</t>
  </si>
  <si>
    <t>2013 BOND DEF/PREMIUM/UNSURE ON THIS</t>
  </si>
  <si>
    <t>BOND PAID OF IN 2021</t>
  </si>
  <si>
    <t>I WOULD THINK THIS WOULD ADJ DURING GAAP TO CASH</t>
  </si>
  <si>
    <t>2101-023</t>
  </si>
  <si>
    <t>2102-023</t>
  </si>
  <si>
    <t>2103-023</t>
  </si>
  <si>
    <t>2104-023</t>
  </si>
  <si>
    <t>2105-023</t>
  </si>
  <si>
    <t>2106-023</t>
  </si>
  <si>
    <t>2107-023</t>
  </si>
  <si>
    <t>2108-023</t>
  </si>
  <si>
    <t>2109-023</t>
  </si>
  <si>
    <t>2110-023</t>
  </si>
  <si>
    <t>2111-023</t>
  </si>
  <si>
    <t>2112-023</t>
  </si>
  <si>
    <t>WATER MATERIAL OUT OF STOCK/UNSURE ON THIS</t>
  </si>
  <si>
    <t>THIS IS A GAAP THING</t>
  </si>
  <si>
    <t>2103-040</t>
  </si>
  <si>
    <t>2104-040</t>
  </si>
  <si>
    <t>2105-040</t>
  </si>
  <si>
    <t>2106-040</t>
  </si>
  <si>
    <t>2107-040</t>
  </si>
  <si>
    <t>2108-040</t>
  </si>
  <si>
    <t>2109-040</t>
  </si>
  <si>
    <t>2110-040</t>
  </si>
  <si>
    <t>2111-040</t>
  </si>
  <si>
    <t>2112-040</t>
  </si>
  <si>
    <t>2103-039</t>
  </si>
  <si>
    <t>2104-039</t>
  </si>
  <si>
    <t>2105-039</t>
  </si>
  <si>
    <t>2106-039</t>
  </si>
  <si>
    <t>2107-039</t>
  </si>
  <si>
    <t>2108-039</t>
  </si>
  <si>
    <t>2109-039</t>
  </si>
  <si>
    <t>2110-039</t>
  </si>
  <si>
    <t>2111-039</t>
  </si>
  <si>
    <t>2112-039</t>
  </si>
  <si>
    <t>2021 REF BOND INT ACCR (2010 REFUNDED)/UNSURE ABOUT THIS</t>
  </si>
  <si>
    <t>2021 REF BOND INT ACCR (2015 REFUNDED)/UNSURE ABOUT THIS</t>
  </si>
  <si>
    <t>2103-042</t>
  </si>
  <si>
    <t>2104-042</t>
  </si>
  <si>
    <t>2105-042</t>
  </si>
  <si>
    <t>2106-042</t>
  </si>
  <si>
    <t>2107-042</t>
  </si>
  <si>
    <t>2108-042</t>
  </si>
  <si>
    <t>2109-042</t>
  </si>
  <si>
    <t>2110-042</t>
  </si>
  <si>
    <t>2111-042</t>
  </si>
  <si>
    <t>2112-042</t>
  </si>
  <si>
    <t>2021 REF BOND PREMIUM (2010 REFUNDED)/UNSURE ABOUT THIS</t>
  </si>
  <si>
    <t>ACCRUAL/GAAP/NEW IN MAR 2021</t>
  </si>
  <si>
    <t>2103-043</t>
  </si>
  <si>
    <t>2104-043</t>
  </si>
  <si>
    <t>2105-043</t>
  </si>
  <si>
    <t>2106-043</t>
  </si>
  <si>
    <t>2107-043</t>
  </si>
  <si>
    <t>2108-043</t>
  </si>
  <si>
    <t>2109-043</t>
  </si>
  <si>
    <t>2110-043</t>
  </si>
  <si>
    <t>2111-043</t>
  </si>
  <si>
    <t>2112-043</t>
  </si>
  <si>
    <t>2021 REF BOND PREM (2015 REFUNDED)/UNSURE ABOUT THIS</t>
  </si>
  <si>
    <t>2021 REF BOND DEF LOSS (2015 REFUNDED)/UNSURE ABOUT THIS</t>
  </si>
  <si>
    <t>635 XFERS?/CUMULATIVE EFFECT</t>
  </si>
  <si>
    <t>2101-108, 2101-109</t>
  </si>
  <si>
    <t>RECOGNIZE COURT CASH? 2113-108</t>
  </si>
  <si>
    <t>I THINK ALL OF THE BELOW GET ELIMINATED W/GAAP TO CASH SPREADSHEET</t>
  </si>
  <si>
    <t>TRANSFERS IN/OUT - SHOULD TIE TO SCHEDULE 1</t>
  </si>
  <si>
    <t>WATCH FOR ROLLUPS</t>
  </si>
  <si>
    <t>Pending-WIP-see spreadsheet/also need gaap to cash</t>
  </si>
  <si>
    <r>
      <t xml:space="preserve">sched 6/sched 7; voided checks </t>
    </r>
    <r>
      <rPr>
        <sz val="10"/>
        <color rgb="FFFF0000"/>
        <rFont val="Arial"/>
        <family val="2"/>
      </rPr>
      <t>(I included voided treas chks)</t>
    </r>
  </si>
  <si>
    <t>need gaap to cash</t>
  </si>
  <si>
    <t>Net effect of known misstatements</t>
  </si>
  <si>
    <t>court chks issued to city-see bank effect xfers/add back to counteract dbl effect</t>
  </si>
  <si>
    <t>bond - see note from beau 2019 cash flow</t>
  </si>
  <si>
    <t>bond-see 2021 bank effect - also see note from beau 2019 cash flow</t>
  </si>
  <si>
    <t>Interfund transactions 2023</t>
  </si>
  <si>
    <t>VOIDED TREASURER CHECKS 2023</t>
  </si>
  <si>
    <t>NSFs 2023</t>
  </si>
  <si>
    <r>
      <t xml:space="preserve">Current year, Beginning – Per Financial Statements </t>
    </r>
    <r>
      <rPr>
        <sz val="10"/>
        <color rgb="FFFF0000"/>
        <rFont val="Arial"/>
        <family val="2"/>
      </rPr>
      <t>(taken from sched 1 2023)</t>
    </r>
  </si>
  <si>
    <t>from sched 1 2023 (beginning)</t>
  </si>
  <si>
    <t>sched 1 ending cash; prior year 2022</t>
  </si>
  <si>
    <t xml:space="preserve">from 2023 NSFs tab </t>
  </si>
  <si>
    <t>deposit in transit incl court (prior year-2022)</t>
  </si>
  <si>
    <t>941 partial adj (prior year-2022)</t>
  </si>
  <si>
    <r>
      <t xml:space="preserve">C4 (from sched 1 &amp; sched 11 2023) </t>
    </r>
    <r>
      <rPr>
        <sz val="10"/>
        <color rgb="FFFF0000"/>
        <rFont val="Arial"/>
        <family val="2"/>
      </rPr>
      <t>pending gaap to cash from Bret</t>
    </r>
  </si>
  <si>
    <t>C5 (from sched 1 &amp; sched 11 2023)-funds 611 &amp; 635</t>
  </si>
  <si>
    <t>from 2023 NSFs tab</t>
  </si>
  <si>
    <r>
      <t xml:space="preserve">from sched 1 2023 (BARS 588.80) - </t>
    </r>
    <r>
      <rPr>
        <sz val="10"/>
        <color rgb="FFFF0000"/>
        <rFont val="Arial"/>
        <family val="2"/>
      </rPr>
      <t>Need to revisit this</t>
    </r>
  </si>
  <si>
    <t>from cash recon 2022 (open period payables)</t>
  </si>
  <si>
    <t>from bank to book recon 2022 (open period treas chks)</t>
  </si>
  <si>
    <t>os warrant, os treas chks, os court chks (prior year-2022)</t>
  </si>
  <si>
    <t>open period regular, open period treas chks (prior year-2022)</t>
  </si>
  <si>
    <r>
      <t xml:space="preserve">from sched 1 &amp; sched 11 2023 </t>
    </r>
    <r>
      <rPr>
        <sz val="10"/>
        <color rgb="FFFF0000"/>
        <rFont val="Arial"/>
        <family val="2"/>
      </rPr>
      <t>(pending gaap to cash)</t>
    </r>
  </si>
  <si>
    <t>from sched 1 &amp; sched 11 2023 (pending gaap to cash)</t>
  </si>
  <si>
    <t>from cash recon 2023 (open period payables) &amp; bank to book recon 2023 (open per treas chks)</t>
  </si>
  <si>
    <t>from bank to book recon 2022</t>
  </si>
  <si>
    <t>from cash recon 2023 (open period receivables)</t>
  </si>
  <si>
    <t>Kristy Bonagofsky (Police Administrative Assistant) and Kelly White (City Accountant)</t>
  </si>
  <si>
    <t>Kristy Bonagofsky (Police Administrative Assistant), Kelly White (City Accountant), and Rajeev Kumar (Accounting Specialist)</t>
  </si>
  <si>
    <t>CSC</t>
  </si>
  <si>
    <t xml:space="preserve">CSC </t>
  </si>
  <si>
    <t>AUTOPAY</t>
  </si>
  <si>
    <t>CSC GLOBAL</t>
  </si>
  <si>
    <t>CITY HALL</t>
  </si>
  <si>
    <t>count = 75</t>
  </si>
  <si>
    <t>2301-025A</t>
  </si>
  <si>
    <t>REFUNDED VIA CC - NO CHECK NEEDED</t>
  </si>
  <si>
    <t>2023-407</t>
  </si>
  <si>
    <t>2023-201</t>
  </si>
  <si>
    <t>VOID TO CORRECT AND RE-CUT 40558</t>
  </si>
  <si>
    <t>LOST WARRANT - VOID AND RE-ISSUED 11/22/23</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</si>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</sst>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6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8"/>
      <name val="Arial"/>
      <family val="2"/>
    </font>
    <font>
      <sz val="8"/>
      <name val="Arial"/>
      <family val="2"/>
    </font>
    <font>
      <sz val="10"/>
      <name val="Arial"/>
      <family val="2"/>
    </font>
    <font>
      <b/>
      <sz val="8"/>
      <color rgb="FFFF0000"/>
      <name val="Arial"/>
      <family val="2"/>
    </font>
    <font>
      <b/>
      <sz val="10"/>
      <name val="Arial"/>
      <family val="2"/>
    </font>
    <font>
      <i/>
      <sz val="10"/>
      <name val="Arial"/>
      <family val="2"/>
    </font>
    <font>
      <sz val="9"/>
      <color indexed="81"/>
      <name val="Tahoma"/>
      <family val="2"/>
    </font>
    <font>
      <u/>
      <sz val="9"/>
      <color indexed="81"/>
      <name val="Tahoma"/>
      <family val="2"/>
    </font>
    <font>
      <sz val="8"/>
      <color rgb="FFFF0000"/>
      <name val="Arial"/>
      <family val="2"/>
    </font>
    <font>
      <b/>
      <sz val="9"/>
      <color indexed="81"/>
      <name val="Tahoma"/>
      <family val="2"/>
    </font>
    <font>
      <i/>
      <sz val="9"/>
      <color indexed="81"/>
      <name val="Tahoma"/>
      <family val="2"/>
    </font>
    <font>
      <sz val="10"/>
      <color rgb="FF0000FF"/>
      <name val="MS Mincho"/>
      <family val="3"/>
    </font>
    <font>
      <sz val="10"/>
      <color rgb="FF0000FF"/>
      <name val="Arial"/>
      <family val="2"/>
    </font>
    <font>
      <b/>
      <u/>
      <sz val="8"/>
      <name val="Arial"/>
      <family val="2"/>
    </font>
    <font>
      <i/>
      <sz val="8"/>
      <name val="Arial"/>
      <family val="2"/>
    </font>
    <font>
      <u/>
      <sz val="8"/>
      <name val="Arial"/>
      <family val="2"/>
    </font>
    <font>
      <sz val="8"/>
      <color indexed="81"/>
      <name val="Tahoma"/>
      <family val="2"/>
    </font>
    <font>
      <sz val="7"/>
      <color indexed="81"/>
      <name val="Tahoma"/>
      <family val="2"/>
    </font>
    <font>
      <b/>
      <sz val="8"/>
      <color indexed="81"/>
      <name val="Tahoma"/>
      <family val="2"/>
    </font>
    <font>
      <u/>
      <sz val="10"/>
      <name val="Arial"/>
      <family val="2"/>
    </font>
    <font>
      <sz val="10"/>
      <color indexed="81"/>
      <name val="Tahoma"/>
      <family val="2"/>
    </font>
    <font>
      <i/>
      <sz val="8"/>
      <color theme="0" tint="-0.14999847407452621"/>
      <name val="Arial"/>
      <family val="2"/>
    </font>
    <font>
      <b/>
      <i/>
      <sz val="8"/>
      <name val="Arial"/>
      <family val="2"/>
    </font>
    <font>
      <b/>
      <i/>
      <sz val="8"/>
      <color rgb="FF0000FF"/>
      <name val="Arial"/>
      <family val="2"/>
    </font>
    <font>
      <i/>
      <sz val="7"/>
      <color indexed="81"/>
      <name val="Tahoma"/>
      <family val="2"/>
    </font>
    <font>
      <i/>
      <u/>
      <sz val="9"/>
      <color indexed="81"/>
      <name val="Tahoma"/>
      <family val="2"/>
    </font>
    <font>
      <sz val="10"/>
      <name val="Bookman Old Style"/>
      <family val="1"/>
    </font>
    <font>
      <b/>
      <i/>
      <sz val="9"/>
      <color indexed="81"/>
      <name val="Tahoma"/>
      <family val="2"/>
    </font>
    <font>
      <b/>
      <sz val="11"/>
      <color theme="1"/>
      <name val="Calibri"/>
      <family val="2"/>
      <scheme val="minor"/>
    </font>
    <font>
      <sz val="11"/>
      <color indexed="8"/>
      <name val="Calibri"/>
      <family val="2"/>
    </font>
    <font>
      <u/>
      <sz val="10"/>
      <color theme="10"/>
      <name val="Arial"/>
      <family val="2"/>
    </font>
    <font>
      <sz val="11"/>
      <color rgb="FF000000"/>
      <name val="Calibri"/>
      <family val="2"/>
      <scheme val="minor"/>
    </font>
    <font>
      <b/>
      <sz val="11"/>
      <color rgb="FF000000"/>
      <name val="Calibri"/>
      <family val="2"/>
      <scheme val="minor"/>
    </font>
    <font>
      <sz val="11"/>
      <color theme="1"/>
      <name val="Tahoma"/>
      <family val="2"/>
    </font>
    <font>
      <i/>
      <sz val="11"/>
      <color rgb="FF000000"/>
      <name val="Calibri"/>
      <family val="2"/>
      <scheme val="minor"/>
    </font>
    <font>
      <b/>
      <sz val="11"/>
      <name val="Calibri"/>
      <family val="2"/>
      <scheme val="minor"/>
    </font>
    <font>
      <sz val="10"/>
      <color theme="1"/>
      <name val="Arial"/>
      <family val="2"/>
    </font>
    <font>
      <i/>
      <sz val="10"/>
      <color theme="1"/>
      <name val="Arial"/>
      <family val="2"/>
    </font>
    <font>
      <b/>
      <sz val="10"/>
      <color theme="1"/>
      <name val="Arial"/>
      <family val="2"/>
    </font>
    <font>
      <sz val="8"/>
      <color theme="1"/>
      <name val="Arial"/>
      <family val="2"/>
    </font>
    <font>
      <i/>
      <u/>
      <sz val="10"/>
      <color theme="1"/>
      <name val="Arial"/>
      <family val="2"/>
    </font>
    <font>
      <sz val="10"/>
      <color rgb="FF0070C0"/>
      <name val="Arial"/>
      <family val="2"/>
    </font>
    <font>
      <sz val="8"/>
      <color rgb="FF0070C0"/>
      <name val="Arial"/>
      <family val="2"/>
    </font>
    <font>
      <sz val="12"/>
      <name val="Arial"/>
      <family val="2"/>
    </font>
    <font>
      <sz val="12"/>
      <color theme="1"/>
      <name val="Arial"/>
      <family val="2"/>
    </font>
    <font>
      <b/>
      <sz val="14"/>
      <name val="Arial"/>
      <family val="2"/>
    </font>
    <font>
      <b/>
      <sz val="14"/>
      <color rgb="FFFF0000"/>
      <name val="Arial"/>
      <family val="2"/>
    </font>
    <font>
      <sz val="10"/>
      <color rgb="FFFF0000"/>
      <name val="Arial"/>
      <family val="2"/>
    </font>
    <font>
      <b/>
      <sz val="16"/>
      <color rgb="FFFF0000"/>
      <name val="Arial"/>
      <family val="2"/>
    </font>
    <font>
      <sz val="16"/>
      <color rgb="FFFF0000"/>
      <name val="Arial"/>
      <family val="2"/>
    </font>
    <font>
      <sz val="14"/>
      <color rgb="FFFF0000"/>
      <name val="Arial"/>
      <family val="2"/>
    </font>
    <font>
      <b/>
      <sz val="12"/>
      <name val="Arial"/>
      <family val="2"/>
    </font>
    <font>
      <sz val="11"/>
      <color rgb="FFFF0000"/>
      <name val="Calibri"/>
      <family val="2"/>
      <scheme val="minor"/>
    </font>
    <font>
      <b/>
      <sz val="14"/>
      <color rgb="FF00B050"/>
      <name val="Arial"/>
      <family val="2"/>
    </font>
    <font>
      <sz val="14"/>
      <color rgb="FF00B050"/>
      <name val="Arial"/>
      <family val="2"/>
    </font>
    <font>
      <sz val="10"/>
      <color rgb="FFFF3300"/>
      <name val="Arial"/>
      <family val="2"/>
    </font>
    <font>
      <i/>
      <sz val="14"/>
      <color rgb="FF00B050"/>
      <name val="Arial"/>
      <family val="2"/>
    </font>
    <font>
      <sz val="10"/>
      <color rgb="FF00B050"/>
      <name val="Arial"/>
      <family val="2"/>
    </font>
    <font>
      <b/>
      <i/>
      <sz val="10"/>
      <name val="Arial"/>
      <family val="2"/>
    </font>
  </fonts>
  <fills count="14">
    <fill>
      <patternFill patternType="none"/>
    </fill>
    <fill>
      <patternFill patternType="gray125"/>
    </fill>
    <fill>
      <patternFill patternType="solid">
        <fgColor rgb="FFCCFFCC"/>
        <bgColor indexed="64"/>
      </patternFill>
    </fill>
    <fill>
      <patternFill patternType="solid">
        <fgColor theme="7"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92D050"/>
        <bgColor indexed="64"/>
      </patternFill>
    </fill>
    <fill>
      <patternFill patternType="solid">
        <fgColor theme="6" tint="0.59999389629810485"/>
        <bgColor indexed="64"/>
      </patternFill>
    </fill>
    <fill>
      <patternFill patternType="solid">
        <fgColor rgb="FFFFC000"/>
        <bgColor indexed="64"/>
      </patternFill>
    </fill>
    <fill>
      <patternFill patternType="solid">
        <fgColor rgb="FFFFFFCC"/>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double">
        <color indexed="64"/>
      </bottom>
      <diagonal/>
    </border>
  </borders>
  <cellStyleXfs count="25">
    <xf numFmtId="0" fontId="0" fillId="0" borderId="0"/>
    <xf numFmtId="43" fontId="7"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34" fillId="0" borderId="0"/>
    <xf numFmtId="43" fontId="34" fillId="0" borderId="0" applyFont="0" applyFill="0" applyBorder="0" applyAlignment="0" applyProtection="0"/>
    <xf numFmtId="43" fontId="7" fillId="0" borderId="0" applyFont="0" applyFill="0" applyBorder="0" applyAlignment="0" applyProtection="0"/>
    <xf numFmtId="44" fontId="34" fillId="0" borderId="0" applyFont="0" applyFill="0" applyBorder="0" applyAlignment="0" applyProtection="0"/>
    <xf numFmtId="0" fontId="6" fillId="0" borderId="0"/>
    <xf numFmtId="43" fontId="37" fillId="0" borderId="0" applyFont="0" applyFill="0" applyBorder="0" applyAlignment="0" applyProtection="0"/>
    <xf numFmtId="0" fontId="38" fillId="0" borderId="0" applyNumberFormat="0" applyFill="0" applyBorder="0" applyAlignment="0" applyProtection="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cellStyleXfs>
  <cellXfs count="329">
    <xf numFmtId="0" fontId="0" fillId="0" borderId="0" xfId="0"/>
    <xf numFmtId="0" fontId="9" fillId="0" borderId="0" xfId="0" applyFont="1"/>
    <xf numFmtId="43" fontId="9" fillId="0" borderId="0" xfId="1" applyFont="1"/>
    <xf numFmtId="0" fontId="9" fillId="0" borderId="0" xfId="0" applyFont="1" applyFill="1" applyBorder="1"/>
    <xf numFmtId="43" fontId="9" fillId="0" borderId="0" xfId="0" applyNumberFormat="1" applyFont="1"/>
    <xf numFmtId="0" fontId="9" fillId="0" borderId="0" xfId="0" applyFont="1" applyAlignment="1">
      <alignment horizontal="center"/>
    </xf>
    <xf numFmtId="43" fontId="8" fillId="0" borderId="0" xfId="1" applyFont="1" applyFill="1"/>
    <xf numFmtId="43" fontId="9" fillId="0" borderId="0" xfId="0" applyNumberFormat="1" applyFont="1" applyFill="1"/>
    <xf numFmtId="0" fontId="9" fillId="0" borderId="0" xfId="0" applyFont="1" applyFill="1"/>
    <xf numFmtId="0" fontId="9" fillId="0" borderId="0" xfId="0" applyFont="1" applyAlignment="1">
      <alignment horizontal="left" indent="1"/>
    </xf>
    <xf numFmtId="43" fontId="9" fillId="2" borderId="1" xfId="1" applyFont="1" applyFill="1" applyBorder="1"/>
    <xf numFmtId="43" fontId="8" fillId="0" borderId="0" xfId="0" applyNumberFormat="1" applyFont="1" applyFill="1"/>
    <xf numFmtId="0" fontId="8" fillId="0" borderId="4" xfId="0" applyFont="1" applyBorder="1"/>
    <xf numFmtId="0" fontId="8" fillId="0" borderId="4" xfId="0" applyFont="1" applyBorder="1" applyAlignment="1">
      <alignment horizontal="left" indent="1"/>
    </xf>
    <xf numFmtId="0" fontId="8" fillId="0" borderId="4" xfId="0" applyFont="1" applyFill="1" applyBorder="1" applyAlignment="1">
      <alignment horizontal="left" indent="1"/>
    </xf>
    <xf numFmtId="0" fontId="8" fillId="0" borderId="6" xfId="0" applyFont="1" applyFill="1" applyBorder="1"/>
    <xf numFmtId="164" fontId="8" fillId="0" borderId="5" xfId="2" applyNumberFormat="1" applyFont="1" applyBorder="1" applyAlignment="1">
      <alignment horizontal="center"/>
    </xf>
    <xf numFmtId="164" fontId="8" fillId="0" borderId="7" xfId="2" applyNumberFormat="1" applyFont="1" applyBorder="1" applyAlignment="1">
      <alignment horizontal="center"/>
    </xf>
    <xf numFmtId="0" fontId="16" fillId="0" borderId="0" xfId="0" applyFont="1"/>
    <xf numFmtId="0" fontId="21" fillId="0" borderId="0" xfId="0" applyFont="1"/>
    <xf numFmtId="0" fontId="8" fillId="5" borderId="2" xfId="0" applyFont="1" applyFill="1" applyBorder="1"/>
    <xf numFmtId="43" fontId="8" fillId="5" borderId="10" xfId="1" applyFont="1" applyFill="1" applyBorder="1"/>
    <xf numFmtId="43" fontId="8" fillId="5" borderId="3" xfId="1" applyFont="1" applyFill="1" applyBorder="1"/>
    <xf numFmtId="0" fontId="8" fillId="6" borderId="1" xfId="0" applyFont="1" applyFill="1" applyBorder="1" applyAlignment="1">
      <alignment horizontal="center"/>
    </xf>
    <xf numFmtId="0" fontId="8" fillId="6" borderId="8" xfId="0" applyFont="1" applyFill="1" applyBorder="1" applyAlignment="1">
      <alignment horizontal="center"/>
    </xf>
    <xf numFmtId="0" fontId="9" fillId="6" borderId="9" xfId="0" applyFont="1" applyFill="1" applyBorder="1"/>
    <xf numFmtId="0" fontId="22" fillId="0" borderId="0" xfId="0" applyFont="1"/>
    <xf numFmtId="43" fontId="9" fillId="2" borderId="12" xfId="1" applyFont="1" applyFill="1" applyBorder="1"/>
    <xf numFmtId="43" fontId="9" fillId="2" borderId="2" xfId="1" applyFont="1" applyFill="1" applyBorder="1"/>
    <xf numFmtId="43" fontId="9" fillId="0" borderId="1" xfId="1" applyFont="1" applyFill="1" applyBorder="1"/>
    <xf numFmtId="43" fontId="8" fillId="0" borderId="1" xfId="0" applyNumberFormat="1" applyFont="1" applyFill="1" applyBorder="1"/>
    <xf numFmtId="43" fontId="9" fillId="0" borderId="1" xfId="1" applyFont="1" applyBorder="1"/>
    <xf numFmtId="0" fontId="22" fillId="0" borderId="0" xfId="0" applyFont="1" applyFill="1"/>
    <xf numFmtId="43" fontId="29" fillId="0" borderId="0" xfId="0" applyNumberFormat="1" applyFont="1" applyFill="1" applyBorder="1" applyAlignment="1">
      <alignment horizontal="left"/>
    </xf>
    <xf numFmtId="164" fontId="9" fillId="0" borderId="0" xfId="0" applyNumberFormat="1" applyFont="1"/>
    <xf numFmtId="0" fontId="22" fillId="0" borderId="0" xfId="0" applyFont="1" applyAlignment="1">
      <alignment horizontal="left"/>
    </xf>
    <xf numFmtId="38" fontId="9" fillId="2" borderId="1" xfId="0" applyNumberFormat="1" applyFont="1" applyFill="1" applyBorder="1"/>
    <xf numFmtId="43" fontId="9" fillId="0" borderId="0" xfId="1" applyFont="1" applyAlignment="1">
      <alignment horizontal="left"/>
    </xf>
    <xf numFmtId="38" fontId="9" fillId="0" borderId="1" xfId="0" applyNumberFormat="1" applyFont="1" applyBorder="1"/>
    <xf numFmtId="0" fontId="8" fillId="0" borderId="4" xfId="0" applyFont="1" applyBorder="1" applyAlignment="1">
      <alignment horizontal="left"/>
    </xf>
    <xf numFmtId="0" fontId="12" fillId="0" borderId="0" xfId="4" applyFont="1" applyAlignment="1">
      <alignment vertical="center"/>
    </xf>
    <xf numFmtId="0" fontId="7" fillId="0" borderId="0" xfId="4" applyFont="1" applyAlignment="1">
      <alignment vertical="center"/>
    </xf>
    <xf numFmtId="0" fontId="7" fillId="0" borderId="0" xfId="4" applyAlignment="1">
      <alignment vertical="center"/>
    </xf>
    <xf numFmtId="164" fontId="12" fillId="0" borderId="11" xfId="4" applyNumberFormat="1" applyFont="1" applyBorder="1" applyAlignment="1">
      <alignment vertical="center"/>
    </xf>
    <xf numFmtId="164" fontId="0" fillId="0" borderId="1" xfId="2" applyNumberFormat="1" applyFont="1" applyBorder="1" applyAlignment="1">
      <alignment vertical="center"/>
    </xf>
    <xf numFmtId="0" fontId="8" fillId="6" borderId="13" xfId="0" applyFont="1" applyFill="1" applyBorder="1" applyAlignment="1">
      <alignment horizontal="center"/>
    </xf>
    <xf numFmtId="0" fontId="9" fillId="6" borderId="14" xfId="0" applyFont="1" applyFill="1" applyBorder="1"/>
    <xf numFmtId="164" fontId="8" fillId="0" borderId="0" xfId="2" applyNumberFormat="1" applyFont="1" applyBorder="1" applyAlignment="1">
      <alignment horizontal="center"/>
    </xf>
    <xf numFmtId="0" fontId="31" fillId="0" borderId="0" xfId="0" applyFont="1" applyFill="1" applyBorder="1" applyAlignment="1">
      <alignment horizontal="left" indent="1"/>
    </xf>
    <xf numFmtId="0" fontId="8" fillId="0" borderId="13" xfId="0" applyFont="1" applyBorder="1"/>
    <xf numFmtId="164" fontId="8" fillId="0" borderId="14" xfId="2" applyNumberFormat="1" applyFont="1" applyBorder="1" applyAlignment="1">
      <alignment horizontal="center"/>
    </xf>
    <xf numFmtId="0" fontId="30" fillId="0" borderId="6" xfId="0" applyFont="1" applyBorder="1" applyAlignment="1">
      <alignment horizontal="left" indent="1"/>
    </xf>
    <xf numFmtId="0" fontId="13" fillId="0" borderId="0" xfId="0" applyFont="1" applyAlignment="1">
      <alignment vertical="center"/>
    </xf>
    <xf numFmtId="0" fontId="12" fillId="7" borderId="1" xfId="4" applyFont="1" applyFill="1" applyBorder="1" applyAlignment="1">
      <alignment horizontal="center" vertical="center"/>
    </xf>
    <xf numFmtId="0" fontId="12" fillId="0" borderId="0" xfId="0" applyFont="1" applyAlignment="1">
      <alignment vertical="center"/>
    </xf>
    <xf numFmtId="0" fontId="7" fillId="0" borderId="0" xfId="0" applyFont="1" applyAlignment="1">
      <alignment vertical="center"/>
    </xf>
    <xf numFmtId="0" fontId="0" fillId="0" borderId="0" xfId="0" applyAlignment="1">
      <alignment vertical="center"/>
    </xf>
    <xf numFmtId="0" fontId="12" fillId="2" borderId="0" xfId="0" applyFont="1" applyFill="1" applyAlignment="1">
      <alignment vertical="center"/>
    </xf>
    <xf numFmtId="0" fontId="10" fillId="0" borderId="0" xfId="0" applyFont="1" applyAlignment="1">
      <alignment vertical="center"/>
    </xf>
    <xf numFmtId="38" fontId="0" fillId="2" borderId="1" xfId="0" applyNumberFormat="1" applyFill="1" applyBorder="1" applyAlignment="1">
      <alignment vertical="center"/>
    </xf>
    <xf numFmtId="164" fontId="12" fillId="0" borderId="1" xfId="0" applyNumberFormat="1" applyFont="1" applyBorder="1" applyAlignment="1">
      <alignment vertical="center"/>
    </xf>
    <xf numFmtId="0" fontId="7" fillId="2" borderId="2" xfId="0" applyFont="1" applyFill="1" applyBorder="1" applyAlignment="1">
      <alignment vertical="center"/>
    </xf>
    <xf numFmtId="0" fontId="0" fillId="2" borderId="3" xfId="0" applyFill="1" applyBorder="1" applyAlignment="1">
      <alignment vertical="center"/>
    </xf>
    <xf numFmtId="164" fontId="0" fillId="2" borderId="1" xfId="2" applyNumberFormat="1" applyFont="1" applyFill="1" applyBorder="1" applyAlignment="1">
      <alignment vertical="center"/>
    </xf>
    <xf numFmtId="0" fontId="0" fillId="2" borderId="2" xfId="0" applyFill="1" applyBorder="1" applyAlignment="1">
      <alignment vertical="center"/>
    </xf>
    <xf numFmtId="164" fontId="0" fillId="0" borderId="1" xfId="0" applyNumberFormat="1" applyBorder="1" applyAlignment="1">
      <alignment vertical="center"/>
    </xf>
    <xf numFmtId="164" fontId="12" fillId="0" borderId="11" xfId="0" applyNumberFormat="1" applyFont="1" applyBorder="1" applyAlignment="1">
      <alignment vertical="center"/>
    </xf>
    <xf numFmtId="38" fontId="0" fillId="0" borderId="1" xfId="0" applyNumberFormat="1" applyFill="1" applyBorder="1" applyAlignment="1">
      <alignment vertical="center"/>
    </xf>
    <xf numFmtId="0" fontId="20" fillId="0" borderId="0" xfId="0" applyFont="1" applyAlignment="1">
      <alignment vertical="center"/>
    </xf>
    <xf numFmtId="0" fontId="10" fillId="0" borderId="0" xfId="0" applyFont="1" applyFill="1" applyBorder="1" applyAlignment="1">
      <alignment vertical="center"/>
    </xf>
    <xf numFmtId="0" fontId="19" fillId="0" borderId="0" xfId="0" applyFont="1" applyAlignment="1">
      <alignment horizontal="right" vertical="center"/>
    </xf>
    <xf numFmtId="0" fontId="7" fillId="0" borderId="0" xfId="0" applyFont="1" applyFill="1" applyBorder="1" applyAlignment="1">
      <alignment vertical="center"/>
    </xf>
    <xf numFmtId="0" fontId="19" fillId="0" borderId="0" xfId="0" applyFont="1" applyFill="1" applyAlignment="1">
      <alignment horizontal="right" vertical="center"/>
    </xf>
    <xf numFmtId="0" fontId="7" fillId="2" borderId="0" xfId="0" applyFont="1" applyFill="1" applyBorder="1" applyAlignment="1">
      <alignment vertical="center"/>
    </xf>
    <xf numFmtId="0" fontId="10" fillId="2" borderId="0" xfId="0" applyFont="1" applyFill="1" applyBorder="1" applyAlignment="1">
      <alignment vertical="center"/>
    </xf>
    <xf numFmtId="0" fontId="0" fillId="2" borderId="0" xfId="0" applyFill="1" applyAlignment="1">
      <alignment vertical="center"/>
    </xf>
    <xf numFmtId="0" fontId="13" fillId="0" borderId="0" xfId="0" applyFont="1" applyAlignment="1">
      <alignment horizontal="left" vertical="center"/>
    </xf>
    <xf numFmtId="164" fontId="13" fillId="0" borderId="1" xfId="2" applyNumberFormat="1" applyFont="1" applyFill="1" applyBorder="1" applyAlignment="1">
      <alignment vertical="center"/>
    </xf>
    <xf numFmtId="164" fontId="0" fillId="0" borderId="1" xfId="2" applyNumberFormat="1" applyFont="1" applyFill="1" applyBorder="1" applyAlignment="1">
      <alignment vertical="center"/>
    </xf>
    <xf numFmtId="164" fontId="0" fillId="0" borderId="0" xfId="0" applyNumberFormat="1" applyAlignment="1">
      <alignment vertical="center"/>
    </xf>
    <xf numFmtId="0" fontId="13" fillId="0" borderId="0" xfId="0" applyFont="1" applyFill="1" applyAlignment="1">
      <alignment vertical="center"/>
    </xf>
    <xf numFmtId="0" fontId="0" fillId="0" borderId="0" xfId="0" applyFill="1" applyAlignment="1">
      <alignment vertical="center"/>
    </xf>
    <xf numFmtId="38" fontId="0" fillId="0" borderId="0" xfId="0" applyNumberFormat="1" applyAlignment="1">
      <alignment vertical="center"/>
    </xf>
    <xf numFmtId="164" fontId="13" fillId="0" borderId="1" xfId="2" applyNumberFormat="1" applyFont="1" applyBorder="1" applyAlignment="1">
      <alignment vertical="center"/>
    </xf>
    <xf numFmtId="0" fontId="7" fillId="0" borderId="0" xfId="0" applyFont="1" applyFill="1" applyAlignment="1">
      <alignment vertical="center"/>
    </xf>
    <xf numFmtId="0" fontId="38" fillId="0" borderId="0" xfId="13" applyAlignment="1">
      <alignment vertical="center"/>
    </xf>
    <xf numFmtId="0" fontId="7" fillId="2" borderId="1" xfId="4" applyFont="1" applyFill="1" applyBorder="1" applyAlignment="1">
      <alignment vertical="center"/>
    </xf>
    <xf numFmtId="0" fontId="9" fillId="2" borderId="1" xfId="4" applyFont="1" applyFill="1" applyBorder="1" applyAlignment="1">
      <alignment vertical="center" wrapText="1"/>
    </xf>
    <xf numFmtId="0" fontId="7" fillId="2" borderId="1" xfId="4" applyFill="1" applyBorder="1" applyAlignment="1">
      <alignment vertical="center"/>
    </xf>
    <xf numFmtId="0" fontId="7" fillId="0" borderId="0" xfId="0" applyFont="1" applyAlignment="1">
      <alignment vertical="center"/>
    </xf>
    <xf numFmtId="0" fontId="7" fillId="0" borderId="0" xfId="0" applyFont="1" applyAlignment="1">
      <alignment vertical="center"/>
    </xf>
    <xf numFmtId="0" fontId="7" fillId="0" borderId="0" xfId="0" applyFont="1" applyAlignment="1">
      <alignment vertical="center"/>
    </xf>
    <xf numFmtId="0" fontId="7" fillId="0" borderId="0" xfId="0" applyFont="1" applyAlignment="1">
      <alignment vertical="center"/>
    </xf>
    <xf numFmtId="0" fontId="7" fillId="0" borderId="0" xfId="0" applyFont="1" applyAlignment="1">
      <alignment vertical="center"/>
    </xf>
    <xf numFmtId="0" fontId="10" fillId="0" borderId="0" xfId="0" applyFont="1" applyAlignment="1">
      <alignment vertical="center"/>
    </xf>
    <xf numFmtId="0" fontId="7" fillId="0" borderId="0" xfId="0" applyFont="1" applyAlignment="1">
      <alignment vertical="center"/>
    </xf>
    <xf numFmtId="164" fontId="0" fillId="0" borderId="0" xfId="0" applyNumberFormat="1" applyBorder="1" applyAlignment="1">
      <alignment vertical="center"/>
    </xf>
    <xf numFmtId="38" fontId="0" fillId="0" borderId="0" xfId="0" applyNumberFormat="1" applyFill="1" applyBorder="1" applyAlignment="1">
      <alignment vertical="center"/>
    </xf>
    <xf numFmtId="164" fontId="12" fillId="0" borderId="0" xfId="0" applyNumberFormat="1" applyFont="1" applyBorder="1" applyAlignment="1">
      <alignment vertical="center"/>
    </xf>
    <xf numFmtId="0" fontId="7" fillId="0" borderId="0" xfId="0" applyFont="1" applyAlignment="1">
      <alignment vertical="center"/>
    </xf>
    <xf numFmtId="38" fontId="0" fillId="0" borderId="0" xfId="2" applyNumberFormat="1" applyFont="1" applyFill="1" applyBorder="1" applyAlignment="1">
      <alignment vertical="center"/>
    </xf>
    <xf numFmtId="38" fontId="0" fillId="0" borderId="1" xfId="0" applyNumberFormat="1" applyBorder="1" applyAlignment="1">
      <alignment vertical="center"/>
    </xf>
    <xf numFmtId="38" fontId="0" fillId="0" borderId="0" xfId="0" applyNumberFormat="1" applyBorder="1" applyAlignment="1">
      <alignment vertical="center"/>
    </xf>
    <xf numFmtId="164" fontId="0" fillId="0" borderId="17" xfId="0" applyNumberFormat="1" applyBorder="1" applyAlignment="1">
      <alignment vertical="center"/>
    </xf>
    <xf numFmtId="164" fontId="0" fillId="0" borderId="17" xfId="2" applyNumberFormat="1" applyFont="1" applyBorder="1" applyAlignment="1">
      <alignment vertical="center"/>
    </xf>
    <xf numFmtId="164" fontId="13" fillId="0" borderId="17" xfId="2" applyNumberFormat="1" applyFont="1" applyFill="1" applyBorder="1" applyAlignment="1">
      <alignment vertical="center"/>
    </xf>
    <xf numFmtId="38" fontId="0" fillId="0" borderId="17" xfId="0" applyNumberFormat="1" applyBorder="1" applyAlignment="1">
      <alignment vertical="center"/>
    </xf>
    <xf numFmtId="164" fontId="13" fillId="0" borderId="0" xfId="2" applyNumberFormat="1" applyFont="1" applyBorder="1" applyAlignment="1">
      <alignment vertical="center"/>
    </xf>
    <xf numFmtId="0" fontId="7" fillId="0" borderId="0" xfId="0" applyFont="1" applyAlignment="1">
      <alignment vertical="center"/>
    </xf>
    <xf numFmtId="38" fontId="0" fillId="4" borderId="1" xfId="0" applyNumberFormat="1" applyFill="1" applyBorder="1" applyAlignment="1">
      <alignment vertical="center"/>
    </xf>
    <xf numFmtId="0" fontId="7" fillId="0" borderId="0" xfId="0" applyFont="1" applyAlignment="1">
      <alignment vertical="center"/>
    </xf>
    <xf numFmtId="0" fontId="7" fillId="0" borderId="0" xfId="0" applyFont="1" applyAlignment="1">
      <alignment vertical="center"/>
    </xf>
    <xf numFmtId="0" fontId="44" fillId="0" borderId="0" xfId="0" applyFont="1" applyAlignment="1">
      <alignment vertical="center"/>
    </xf>
    <xf numFmtId="165" fontId="36" fillId="7" borderId="1" xfId="1" applyNumberFormat="1" applyFont="1" applyFill="1" applyBorder="1" applyAlignment="1">
      <alignment horizontal="center"/>
    </xf>
    <xf numFmtId="0" fontId="7" fillId="0" borderId="0" xfId="0" applyFont="1" applyBorder="1" applyAlignment="1">
      <alignment vertical="center"/>
    </xf>
    <xf numFmtId="0" fontId="0" fillId="0" borderId="0" xfId="0" applyBorder="1" applyAlignment="1">
      <alignment vertical="center"/>
    </xf>
    <xf numFmtId="0" fontId="7" fillId="0" borderId="0" xfId="0" applyFont="1" applyBorder="1" applyAlignment="1">
      <alignment horizontal="center" vertical="center"/>
    </xf>
    <xf numFmtId="0" fontId="46" fillId="0" borderId="0" xfId="0" applyFont="1" applyAlignment="1">
      <alignment vertical="center" wrapText="1"/>
    </xf>
    <xf numFmtId="0" fontId="46" fillId="2" borderId="0" xfId="0" applyFont="1" applyFill="1" applyAlignment="1">
      <alignment vertical="center" wrapText="1"/>
    </xf>
    <xf numFmtId="0" fontId="44" fillId="0" borderId="0" xfId="0" applyFont="1" applyAlignment="1">
      <alignment vertical="center" wrapText="1"/>
    </xf>
    <xf numFmtId="10" fontId="47" fillId="0" borderId="0" xfId="3" applyNumberFormat="1" applyFont="1" applyAlignment="1">
      <alignment horizontal="left" vertical="center" wrapText="1"/>
    </xf>
    <xf numFmtId="0" fontId="44" fillId="0" borderId="0" xfId="0" applyFont="1" applyBorder="1" applyAlignment="1">
      <alignment vertical="center" wrapText="1"/>
    </xf>
    <xf numFmtId="0" fontId="44" fillId="0" borderId="0" xfId="0" applyFont="1" applyFill="1" applyBorder="1" applyAlignment="1">
      <alignment vertical="center" wrapText="1"/>
    </xf>
    <xf numFmtId="0" fontId="45" fillId="0" borderId="0" xfId="0" applyFont="1" applyBorder="1" applyAlignment="1">
      <alignment vertical="center"/>
    </xf>
    <xf numFmtId="38" fontId="45" fillId="0" borderId="0" xfId="0" applyNumberFormat="1" applyFont="1" applyBorder="1" applyAlignment="1">
      <alignment vertical="center"/>
    </xf>
    <xf numFmtId="0" fontId="13" fillId="0" borderId="0" xfId="0" applyFont="1" applyBorder="1" applyAlignment="1">
      <alignment vertical="center"/>
    </xf>
    <xf numFmtId="0" fontId="45" fillId="7" borderId="0" xfId="0" applyFont="1" applyFill="1" applyBorder="1" applyAlignment="1">
      <alignment vertical="center"/>
    </xf>
    <xf numFmtId="38" fontId="45" fillId="7" borderId="0" xfId="0" applyNumberFormat="1" applyFont="1" applyFill="1" applyBorder="1" applyAlignment="1">
      <alignment vertical="center"/>
    </xf>
    <xf numFmtId="38" fontId="48" fillId="7" borderId="0" xfId="0" applyNumberFormat="1" applyFont="1" applyFill="1" applyBorder="1" applyAlignment="1">
      <alignment vertical="center"/>
    </xf>
    <xf numFmtId="43" fontId="45" fillId="7" borderId="0" xfId="1" applyFont="1" applyFill="1" applyBorder="1" applyAlignment="1">
      <alignment vertical="center"/>
    </xf>
    <xf numFmtId="0" fontId="45" fillId="7" borderId="22" xfId="0" applyFont="1" applyFill="1" applyBorder="1" applyAlignment="1">
      <alignment vertical="center"/>
    </xf>
    <xf numFmtId="0" fontId="13" fillId="7" borderId="21" xfId="0" applyFont="1" applyFill="1" applyBorder="1" applyAlignment="1">
      <alignment vertical="center"/>
    </xf>
    <xf numFmtId="0" fontId="45" fillId="7" borderId="22" xfId="0" applyFont="1" applyFill="1" applyBorder="1" applyAlignment="1">
      <alignment horizontal="left" vertical="center"/>
    </xf>
    <xf numFmtId="0" fontId="13" fillId="7" borderId="21" xfId="0" applyFont="1" applyFill="1" applyBorder="1" applyAlignment="1">
      <alignment vertical="center" wrapText="1"/>
    </xf>
    <xf numFmtId="0" fontId="45" fillId="7" borderId="22" xfId="0" applyFont="1" applyFill="1" applyBorder="1" applyAlignment="1">
      <alignment horizontal="left" vertical="center" indent="1"/>
    </xf>
    <xf numFmtId="0" fontId="45" fillId="7" borderId="22" xfId="0" applyFont="1" applyFill="1" applyBorder="1" applyAlignment="1">
      <alignment horizontal="right" vertical="center"/>
    </xf>
    <xf numFmtId="0" fontId="13" fillId="7" borderId="22" xfId="0" applyFont="1" applyFill="1" applyBorder="1"/>
    <xf numFmtId="38" fontId="45" fillId="7" borderId="21" xfId="0" applyNumberFormat="1" applyFont="1" applyFill="1" applyBorder="1" applyAlignment="1">
      <alignment vertical="center"/>
    </xf>
    <xf numFmtId="38" fontId="48" fillId="7" borderId="21" xfId="0" applyNumberFormat="1" applyFont="1" applyFill="1" applyBorder="1" applyAlignment="1">
      <alignment vertical="center"/>
    </xf>
    <xf numFmtId="0" fontId="45" fillId="7" borderId="12" xfId="0" applyFont="1" applyFill="1" applyBorder="1" applyAlignment="1">
      <alignment vertical="center"/>
    </xf>
    <xf numFmtId="38" fontId="45" fillId="7" borderId="20" xfId="0" applyNumberFormat="1" applyFont="1" applyFill="1" applyBorder="1" applyAlignment="1">
      <alignment vertical="center"/>
    </xf>
    <xf numFmtId="0" fontId="13" fillId="7" borderId="16" xfId="0" applyFont="1" applyFill="1" applyBorder="1" applyAlignment="1">
      <alignment vertical="center"/>
    </xf>
    <xf numFmtId="0" fontId="44" fillId="7" borderId="22" xfId="0" applyFont="1" applyFill="1" applyBorder="1" applyAlignment="1">
      <alignment horizontal="left" vertical="center"/>
    </xf>
    <xf numFmtId="165" fontId="41" fillId="7" borderId="1" xfId="1" applyNumberFormat="1" applyFont="1" applyFill="1" applyBorder="1" applyAlignment="1">
      <alignment horizontal="center"/>
    </xf>
    <xf numFmtId="0" fontId="13" fillId="7" borderId="22" xfId="0" applyFont="1" applyFill="1" applyBorder="1" applyAlignment="1">
      <alignment wrapText="1"/>
    </xf>
    <xf numFmtId="0" fontId="7" fillId="2" borderId="1" xfId="4" applyFill="1" applyBorder="1" applyAlignment="1">
      <alignment vertical="center" wrapText="1"/>
    </xf>
    <xf numFmtId="0" fontId="7" fillId="2" borderId="1" xfId="4" applyFont="1" applyFill="1" applyBorder="1" applyAlignment="1">
      <alignment vertical="center" wrapText="1"/>
    </xf>
    <xf numFmtId="0" fontId="42" fillId="4" borderId="1" xfId="0" applyFont="1" applyFill="1" applyBorder="1" applyAlignment="1">
      <alignment horizontal="left" vertical="center" wrapText="1"/>
    </xf>
    <xf numFmtId="164" fontId="40" fillId="4" borderId="1" xfId="2" applyNumberFormat="1" applyFont="1" applyFill="1" applyBorder="1" applyAlignment="1">
      <alignment vertical="center" wrapText="1"/>
    </xf>
    <xf numFmtId="164" fontId="39" fillId="0" borderId="1" xfId="2" applyNumberFormat="1" applyFont="1" applyFill="1" applyBorder="1" applyAlignment="1">
      <alignment vertical="center" wrapText="1"/>
    </xf>
    <xf numFmtId="164" fontId="39" fillId="4" borderId="1" xfId="2" applyNumberFormat="1" applyFont="1" applyFill="1" applyBorder="1" applyAlignment="1">
      <alignment vertical="center" wrapText="1"/>
    </xf>
    <xf numFmtId="164" fontId="39" fillId="0" borderId="1" xfId="2" quotePrefix="1" applyNumberFormat="1" applyFont="1" applyFill="1" applyBorder="1" applyAlignment="1">
      <alignment vertical="center" wrapText="1"/>
    </xf>
    <xf numFmtId="164" fontId="43" fillId="8" borderId="0" xfId="2" applyNumberFormat="1" applyFont="1" applyFill="1" applyBorder="1" applyAlignment="1" applyProtection="1">
      <alignment vertical="center" wrapText="1"/>
    </xf>
    <xf numFmtId="164" fontId="36" fillId="2" borderId="3" xfId="2" applyNumberFormat="1" applyFont="1" applyFill="1" applyBorder="1" applyAlignment="1">
      <alignment vertical="center"/>
    </xf>
    <xf numFmtId="164" fontId="36" fillId="2" borderId="2" xfId="2" applyNumberFormat="1" applyFont="1" applyFill="1" applyBorder="1" applyAlignment="1">
      <alignment vertical="center"/>
    </xf>
    <xf numFmtId="44" fontId="0" fillId="0" borderId="0" xfId="2" applyFont="1"/>
    <xf numFmtId="0" fontId="44" fillId="0" borderId="0" xfId="0" applyFont="1" applyFill="1" applyAlignment="1">
      <alignment vertical="center" wrapText="1"/>
    </xf>
    <xf numFmtId="0" fontId="44" fillId="0" borderId="0" xfId="0" applyFont="1" applyFill="1" applyAlignment="1">
      <alignment vertical="center"/>
    </xf>
    <xf numFmtId="0" fontId="49" fillId="0" borderId="0" xfId="0" applyFont="1" applyAlignment="1">
      <alignment vertical="center" wrapText="1"/>
    </xf>
    <xf numFmtId="0" fontId="7" fillId="4" borderId="0" xfId="0" applyFont="1" applyFill="1" applyAlignment="1">
      <alignment vertical="center"/>
    </xf>
    <xf numFmtId="0" fontId="0" fillId="4" borderId="0" xfId="0" applyFill="1" applyAlignment="1">
      <alignment vertical="center"/>
    </xf>
    <xf numFmtId="0" fontId="49" fillId="4" borderId="0" xfId="0" applyFont="1" applyFill="1" applyAlignment="1">
      <alignment vertical="center" wrapText="1"/>
    </xf>
    <xf numFmtId="0" fontId="44" fillId="4" borderId="0" xfId="0" applyFont="1" applyFill="1" applyAlignment="1">
      <alignment vertical="center" wrapText="1"/>
    </xf>
    <xf numFmtId="0" fontId="49" fillId="0" borderId="0" xfId="0" applyFont="1" applyAlignment="1">
      <alignment wrapText="1"/>
    </xf>
    <xf numFmtId="0" fontId="49" fillId="0" borderId="0" xfId="0" applyFont="1" applyAlignment="1">
      <alignment vertical="center"/>
    </xf>
    <xf numFmtId="0" fontId="7" fillId="0" borderId="0" xfId="0" applyFont="1" applyAlignment="1">
      <alignment vertical="center"/>
    </xf>
    <xf numFmtId="0" fontId="51" fillId="3" borderId="10" xfId="0" applyFont="1" applyFill="1" applyBorder="1" applyAlignment="1">
      <alignment vertical="center"/>
    </xf>
    <xf numFmtId="0" fontId="52" fillId="3" borderId="3" xfId="0" applyFont="1" applyFill="1" applyBorder="1" applyAlignment="1">
      <alignment horizontal="center" vertical="center" wrapText="1"/>
    </xf>
    <xf numFmtId="0" fontId="53" fillId="3" borderId="2" xfId="0" applyFont="1" applyFill="1" applyBorder="1" applyAlignment="1">
      <alignment horizontal="left" vertical="center"/>
    </xf>
    <xf numFmtId="0" fontId="8" fillId="5" borderId="2" xfId="0" applyFont="1" applyFill="1" applyBorder="1" applyAlignment="1">
      <alignment horizontal="center"/>
    </xf>
    <xf numFmtId="0" fontId="9" fillId="9" borderId="0" xfId="0" applyFont="1" applyFill="1" applyBorder="1"/>
    <xf numFmtId="0" fontId="54" fillId="3" borderId="2" xfId="0" applyFont="1" applyFill="1" applyBorder="1" applyAlignment="1">
      <alignment horizontal="left" vertical="center"/>
    </xf>
    <xf numFmtId="0" fontId="56" fillId="3" borderId="2" xfId="0" applyFont="1" applyFill="1" applyBorder="1" applyAlignment="1">
      <alignment horizontal="left" vertical="center"/>
    </xf>
    <xf numFmtId="0" fontId="57" fillId="3" borderId="10" xfId="0" applyFont="1" applyFill="1" applyBorder="1" applyAlignment="1">
      <alignment vertical="center"/>
    </xf>
    <xf numFmtId="0" fontId="57" fillId="3" borderId="3" xfId="0" applyFont="1" applyFill="1" applyBorder="1" applyAlignment="1">
      <alignment horizontal="center" vertical="center" wrapText="1"/>
    </xf>
    <xf numFmtId="0" fontId="58" fillId="3" borderId="10" xfId="0" applyFont="1" applyFill="1" applyBorder="1" applyAlignment="1">
      <alignment vertical="center"/>
    </xf>
    <xf numFmtId="0" fontId="58" fillId="3" borderId="3" xfId="0" applyFont="1" applyFill="1" applyBorder="1" applyAlignment="1">
      <alignment horizontal="center" vertical="center" wrapText="1"/>
    </xf>
    <xf numFmtId="0" fontId="59" fillId="0" borderId="0" xfId="0" applyFont="1" applyAlignment="1">
      <alignment vertical="center"/>
    </xf>
    <xf numFmtId="0" fontId="50" fillId="0" borderId="0" xfId="0" applyFont="1" applyAlignment="1">
      <alignment vertical="center" wrapText="1"/>
    </xf>
    <xf numFmtId="0" fontId="50" fillId="0" borderId="22" xfId="0" applyFont="1" applyBorder="1" applyAlignment="1">
      <alignment vertical="center"/>
    </xf>
    <xf numFmtId="0" fontId="9" fillId="0" borderId="0" xfId="0" applyFont="1" applyAlignment="1"/>
    <xf numFmtId="164" fontId="40" fillId="10" borderId="1" xfId="2" quotePrefix="1" applyNumberFormat="1" applyFont="1" applyFill="1" applyBorder="1" applyAlignment="1">
      <alignment vertical="center" wrapText="1"/>
    </xf>
    <xf numFmtId="164" fontId="40" fillId="9" borderId="1" xfId="2" applyNumberFormat="1" applyFont="1" applyFill="1" applyBorder="1" applyAlignment="1">
      <alignment vertical="center" wrapText="1"/>
    </xf>
    <xf numFmtId="164" fontId="39" fillId="11" borderId="1" xfId="2" applyNumberFormat="1" applyFont="1" applyFill="1" applyBorder="1" applyAlignment="1">
      <alignment vertical="center" wrapText="1"/>
    </xf>
    <xf numFmtId="164" fontId="39" fillId="11" borderId="15" xfId="2" applyNumberFormat="1" applyFont="1" applyFill="1" applyBorder="1" applyAlignment="1">
      <alignment vertical="center" wrapText="1"/>
    </xf>
    <xf numFmtId="164" fontId="39" fillId="11" borderId="1" xfId="2" quotePrefix="1" applyNumberFormat="1" applyFont="1" applyFill="1" applyBorder="1" applyAlignment="1">
      <alignment vertical="center" wrapText="1"/>
    </xf>
    <xf numFmtId="0" fontId="7" fillId="0" borderId="0" xfId="0" applyFont="1" applyAlignment="1">
      <alignment vertical="center"/>
    </xf>
    <xf numFmtId="164" fontId="36" fillId="10" borderId="1" xfId="2" applyNumberFormat="1" applyFont="1" applyFill="1" applyBorder="1" applyAlignment="1">
      <alignment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xf>
    <xf numFmtId="43" fontId="0" fillId="0" borderId="0" xfId="1" applyFont="1"/>
    <xf numFmtId="43" fontId="0" fillId="0" borderId="23" xfId="1" applyFont="1" applyBorder="1"/>
    <xf numFmtId="164" fontId="39" fillId="12" borderId="1" xfId="2" applyNumberFormat="1" applyFont="1" applyFill="1" applyBorder="1" applyAlignment="1">
      <alignment vertical="center" wrapText="1"/>
    </xf>
    <xf numFmtId="38" fontId="0" fillId="12" borderId="1" xfId="0" applyNumberFormat="1" applyFill="1" applyBorder="1" applyAlignment="1">
      <alignment vertical="center"/>
    </xf>
    <xf numFmtId="0" fontId="2" fillId="0" borderId="0" xfId="21" applyAlignment="1">
      <alignment vertical="center"/>
    </xf>
    <xf numFmtId="0" fontId="2" fillId="0" borderId="0" xfId="21" applyFont="1" applyAlignment="1">
      <alignment vertical="center"/>
    </xf>
    <xf numFmtId="0" fontId="2" fillId="0" borderId="0" xfId="21" applyFont="1" applyAlignment="1">
      <alignment vertical="center" wrapText="1"/>
    </xf>
    <xf numFmtId="44" fontId="36" fillId="10" borderId="1" xfId="21" applyNumberFormat="1" applyFont="1" applyFill="1" applyBorder="1" applyAlignment="1">
      <alignment vertical="center"/>
    </xf>
    <xf numFmtId="164" fontId="43" fillId="8" borderId="15" xfId="22" applyNumberFormat="1" applyFont="1" applyFill="1" applyBorder="1" applyAlignment="1" applyProtection="1">
      <alignment vertical="center" wrapText="1"/>
    </xf>
    <xf numFmtId="164" fontId="36" fillId="4" borderId="3" xfId="21" applyNumberFormat="1" applyFont="1" applyFill="1" applyBorder="1" applyAlignment="1">
      <alignment vertical="center"/>
    </xf>
    <xf numFmtId="164" fontId="36" fillId="4" borderId="2" xfId="21" applyNumberFormat="1" applyFont="1" applyFill="1" applyBorder="1" applyAlignment="1">
      <alignment vertical="center"/>
    </xf>
    <xf numFmtId="0" fontId="36" fillId="0" borderId="1" xfId="21" applyFont="1" applyBorder="1" applyAlignment="1">
      <alignment vertical="center"/>
    </xf>
    <xf numFmtId="164" fontId="2" fillId="0" borderId="1" xfId="21" applyNumberFormat="1" applyFont="1" applyBorder="1" applyAlignment="1">
      <alignment horizontal="center" vertical="center"/>
    </xf>
    <xf numFmtId="164" fontId="36" fillId="2" borderId="1" xfId="22" applyNumberFormat="1" applyFont="1" applyFill="1" applyBorder="1" applyAlignment="1">
      <alignment vertical="center"/>
    </xf>
    <xf numFmtId="164" fontId="43" fillId="8" borderId="19" xfId="22" applyNumberFormat="1" applyFont="1" applyFill="1" applyBorder="1" applyAlignment="1" applyProtection="1">
      <alignment vertical="center" wrapText="1"/>
    </xf>
    <xf numFmtId="0" fontId="36" fillId="4" borderId="15" xfId="21" applyFont="1" applyFill="1" applyBorder="1" applyAlignment="1">
      <alignment wrapText="1"/>
    </xf>
    <xf numFmtId="0" fontId="39" fillId="0" borderId="0" xfId="21" applyFont="1" applyFill="1" applyBorder="1" applyAlignment="1">
      <alignment vertical="center"/>
    </xf>
    <xf numFmtId="0" fontId="40" fillId="4" borderId="18" xfId="21" applyFont="1" applyFill="1" applyBorder="1" applyAlignment="1">
      <alignment horizontal="center" vertical="top" wrapText="1"/>
    </xf>
    <xf numFmtId="164" fontId="43" fillId="8" borderId="18" xfId="22" applyNumberFormat="1" applyFont="1" applyFill="1" applyBorder="1" applyAlignment="1" applyProtection="1">
      <alignment horizontal="center" vertical="top" wrapText="1"/>
    </xf>
    <xf numFmtId="0" fontId="40" fillId="0" borderId="10" xfId="21" applyFont="1" applyFill="1" applyBorder="1" applyAlignment="1">
      <alignment horizontal="center" vertical="top" wrapText="1"/>
    </xf>
    <xf numFmtId="0" fontId="40" fillId="0" borderId="2" xfId="21" applyFont="1" applyFill="1" applyBorder="1" applyAlignment="1">
      <alignment horizontal="center" vertical="top" wrapText="1"/>
    </xf>
    <xf numFmtId="0" fontId="36" fillId="4" borderId="18" xfId="21" applyFont="1" applyFill="1" applyBorder="1" applyAlignment="1">
      <alignment wrapText="1"/>
    </xf>
    <xf numFmtId="0" fontId="39" fillId="4" borderId="0" xfId="21" applyFont="1" applyFill="1" applyBorder="1" applyAlignment="1">
      <alignment horizontal="center" vertical="center" wrapText="1"/>
    </xf>
    <xf numFmtId="164" fontId="36" fillId="4" borderId="1" xfId="22" applyNumberFormat="1" applyFont="1" applyFill="1" applyBorder="1" applyAlignment="1">
      <alignment vertical="center"/>
    </xf>
    <xf numFmtId="164" fontId="43" fillId="8" borderId="16" xfId="22" applyNumberFormat="1" applyFont="1" applyFill="1" applyBorder="1" applyAlignment="1" applyProtection="1">
      <alignment vertical="center" wrapText="1"/>
    </xf>
    <xf numFmtId="164" fontId="43" fillId="8" borderId="12" xfId="22" applyNumberFormat="1" applyFont="1" applyFill="1" applyBorder="1" applyAlignment="1" applyProtection="1">
      <alignment vertical="center" wrapText="1"/>
    </xf>
    <xf numFmtId="0" fontId="36" fillId="4" borderId="1" xfId="21" applyFont="1" applyFill="1" applyBorder="1" applyAlignment="1">
      <alignment vertical="center" wrapText="1"/>
    </xf>
    <xf numFmtId="0" fontId="2" fillId="0" borderId="1" xfId="21" applyFont="1" applyBorder="1" applyAlignment="1">
      <alignment vertical="center" wrapText="1"/>
    </xf>
    <xf numFmtId="0" fontId="2" fillId="0" borderId="1" xfId="21" applyFont="1" applyBorder="1" applyAlignment="1">
      <alignment horizontal="center" vertical="center"/>
    </xf>
    <xf numFmtId="164" fontId="36" fillId="10" borderId="1" xfId="22" applyNumberFormat="1" applyFont="1" applyFill="1" applyBorder="1" applyAlignment="1">
      <alignment vertical="center"/>
    </xf>
    <xf numFmtId="164" fontId="40" fillId="2" borderId="1" xfId="22" applyNumberFormat="1" applyFont="1" applyFill="1" applyBorder="1" applyAlignment="1">
      <alignment vertical="center" wrapText="1"/>
    </xf>
    <xf numFmtId="164" fontId="39" fillId="2" borderId="1" xfId="22" applyNumberFormat="1" applyFont="1" applyFill="1" applyBorder="1" applyAlignment="1">
      <alignment vertical="center" wrapText="1"/>
    </xf>
    <xf numFmtId="0" fontId="42" fillId="2" borderId="1" xfId="21" applyFont="1" applyFill="1" applyBorder="1" applyAlignment="1">
      <alignment horizontal="left" vertical="center" wrapText="1"/>
    </xf>
    <xf numFmtId="0" fontId="2" fillId="0" borderId="0" xfId="21" quotePrefix="1" applyFont="1" applyAlignment="1">
      <alignment vertical="center" wrapText="1"/>
    </xf>
    <xf numFmtId="164" fontId="2" fillId="0" borderId="0" xfId="21" quotePrefix="1" applyNumberFormat="1" applyFont="1" applyAlignment="1">
      <alignment vertical="center" wrapText="1"/>
    </xf>
    <xf numFmtId="0" fontId="40" fillId="0" borderId="1" xfId="21" applyFont="1" applyFill="1" applyBorder="1" applyAlignment="1">
      <alignment horizontal="center" wrapText="1"/>
    </xf>
    <xf numFmtId="0" fontId="39" fillId="0" borderId="0" xfId="21" applyFont="1" applyFill="1" applyBorder="1" applyAlignment="1">
      <alignment horizontal="center" vertical="center"/>
    </xf>
    <xf numFmtId="0" fontId="2" fillId="0" borderId="0" xfId="21" applyFont="1" applyFill="1" applyAlignment="1">
      <alignment vertical="center"/>
    </xf>
    <xf numFmtId="165" fontId="2" fillId="7" borderId="1" xfId="1" applyNumberFormat="1" applyFont="1" applyFill="1" applyBorder="1" applyAlignment="1">
      <alignment vertical="center"/>
    </xf>
    <xf numFmtId="165" fontId="2" fillId="7" borderId="1" xfId="1" applyNumberFormat="1" applyFont="1" applyFill="1" applyBorder="1" applyAlignment="1">
      <alignment horizontal="left"/>
    </xf>
    <xf numFmtId="165" fontId="2" fillId="7" borderId="1" xfId="1" applyNumberFormat="1" applyFont="1" applyFill="1" applyBorder="1" applyAlignment="1"/>
    <xf numFmtId="0" fontId="36" fillId="0" borderId="0" xfId="21" applyFont="1" applyAlignment="1">
      <alignment vertical="center" wrapText="1"/>
    </xf>
    <xf numFmtId="0" fontId="36" fillId="7" borderId="1" xfId="21" applyFont="1" applyFill="1" applyBorder="1" applyAlignment="1">
      <alignment horizontal="center" vertical="center" wrapText="1"/>
    </xf>
    <xf numFmtId="0" fontId="36" fillId="7" borderId="1" xfId="23" applyFont="1" applyFill="1" applyBorder="1" applyAlignment="1">
      <alignment horizontal="center" vertical="center"/>
    </xf>
    <xf numFmtId="0" fontId="36" fillId="7" borderId="1" xfId="23" applyFont="1" applyFill="1" applyBorder="1" applyAlignment="1">
      <alignment horizontal="center" vertical="center" wrapText="1"/>
    </xf>
    <xf numFmtId="0" fontId="36" fillId="0" borderId="0" xfId="21" applyFont="1" applyFill="1" applyAlignment="1">
      <alignment horizontal="center" vertical="center"/>
    </xf>
    <xf numFmtId="0" fontId="36" fillId="0" borderId="0" xfId="24" applyFont="1" applyAlignment="1">
      <alignment vertical="center"/>
    </xf>
    <xf numFmtId="0" fontId="2" fillId="0" borderId="0" xfId="21" applyFont="1" applyFill="1" applyAlignment="1">
      <alignment horizontal="center" vertical="center"/>
    </xf>
    <xf numFmtId="0" fontId="2" fillId="0" borderId="0" xfId="24" applyFont="1" applyAlignment="1">
      <alignment vertical="center"/>
    </xf>
    <xf numFmtId="0" fontId="61" fillId="0" borderId="2" xfId="0" applyFont="1" applyFill="1" applyBorder="1" applyAlignment="1">
      <alignment horizontal="left" vertical="center"/>
    </xf>
    <xf numFmtId="0" fontId="62" fillId="0" borderId="10" xfId="0" applyFont="1" applyFill="1" applyBorder="1" applyAlignment="1">
      <alignment vertical="center"/>
    </xf>
    <xf numFmtId="0" fontId="55" fillId="0" borderId="0" xfId="0" applyFont="1" applyAlignment="1">
      <alignment vertical="center" wrapText="1"/>
    </xf>
    <xf numFmtId="38" fontId="0" fillId="12" borderId="18" xfId="0" applyNumberFormat="1" applyFill="1" applyBorder="1" applyAlignment="1">
      <alignment vertical="center"/>
    </xf>
    <xf numFmtId="0" fontId="55" fillId="0" borderId="0" xfId="0" applyFont="1" applyAlignment="1">
      <alignment vertical="center"/>
    </xf>
    <xf numFmtId="38" fontId="0" fillId="0" borderId="18" xfId="0" applyNumberFormat="1" applyFill="1" applyBorder="1" applyAlignment="1">
      <alignment vertical="center"/>
    </xf>
    <xf numFmtId="43" fontId="0" fillId="12" borderId="1" xfId="1" applyFont="1" applyFill="1" applyBorder="1" applyAlignment="1">
      <alignment vertical="center"/>
    </xf>
    <xf numFmtId="0" fontId="63" fillId="0" borderId="0" xfId="0" applyFont="1" applyAlignment="1">
      <alignment vertical="center"/>
    </xf>
    <xf numFmtId="0" fontId="63" fillId="0" borderId="0" xfId="0" applyFont="1" applyFill="1" applyAlignment="1">
      <alignment vertical="center" wrapText="1"/>
    </xf>
    <xf numFmtId="38" fontId="0" fillId="12" borderId="1" xfId="2" applyNumberFormat="1" applyFont="1" applyFill="1" applyBorder="1" applyAlignment="1">
      <alignment vertical="center"/>
    </xf>
    <xf numFmtId="0" fontId="64" fillId="0" borderId="3" xfId="0" applyFont="1" applyFill="1" applyBorder="1" applyAlignment="1">
      <alignment horizontal="center" vertical="center" wrapText="1"/>
    </xf>
    <xf numFmtId="0" fontId="7" fillId="0" borderId="0" xfId="0" applyFont="1" applyAlignment="1"/>
    <xf numFmtId="0" fontId="0" fillId="0" borderId="0" xfId="0" applyAlignment="1"/>
    <xf numFmtId="38" fontId="0" fillId="4" borderId="1" xfId="0" applyNumberFormat="1" applyFill="1" applyBorder="1" applyAlignment="1"/>
    <xf numFmtId="164" fontId="12" fillId="10" borderId="1" xfId="0" applyNumberFormat="1" applyFont="1" applyFill="1" applyBorder="1" applyAlignment="1">
      <alignment vertical="center"/>
    </xf>
    <xf numFmtId="164" fontId="12" fillId="10" borderId="11" xfId="0" applyNumberFormat="1" applyFont="1" applyFill="1" applyBorder="1" applyAlignment="1">
      <alignment vertical="center"/>
    </xf>
    <xf numFmtId="0" fontId="0" fillId="0" borderId="3" xfId="0" applyFill="1" applyBorder="1" applyAlignment="1">
      <alignment vertical="center"/>
    </xf>
    <xf numFmtId="0" fontId="49" fillId="0" borderId="22" xfId="0" applyFont="1" applyBorder="1" applyAlignment="1">
      <alignment vertical="center" wrapText="1"/>
    </xf>
    <xf numFmtId="0" fontId="7" fillId="0" borderId="0" xfId="0" applyFont="1"/>
    <xf numFmtId="0" fontId="55" fillId="0" borderId="0" xfId="0" applyFont="1" applyFill="1" applyAlignment="1">
      <alignment vertical="center" wrapText="1"/>
    </xf>
    <xf numFmtId="0" fontId="7" fillId="0" borderId="2" xfId="0" applyFont="1" applyFill="1" applyBorder="1" applyAlignment="1">
      <alignment vertical="center"/>
    </xf>
    <xf numFmtId="0" fontId="0" fillId="0" borderId="2" xfId="0" applyFill="1" applyBorder="1" applyAlignment="1">
      <alignment vertical="center"/>
    </xf>
    <xf numFmtId="165" fontId="60" fillId="0" borderId="1" xfId="1" applyNumberFormat="1" applyFont="1" applyFill="1" applyBorder="1" applyAlignment="1">
      <alignment vertical="center" wrapText="1"/>
    </xf>
    <xf numFmtId="0" fontId="0" fillId="0" borderId="20" xfId="0" applyBorder="1" applyAlignment="1">
      <alignment horizontal="center"/>
    </xf>
    <xf numFmtId="43" fontId="0" fillId="0" borderId="20" xfId="1" applyFont="1" applyBorder="1" applyAlignment="1">
      <alignment horizontal="center"/>
    </xf>
    <xf numFmtId="0" fontId="7" fillId="0" borderId="0" xfId="0" applyFont="1" applyAlignment="1">
      <alignment horizontal="left"/>
    </xf>
    <xf numFmtId="0" fontId="7" fillId="0" borderId="0" xfId="0" applyFont="1" applyAlignment="1">
      <alignment horizontal="center"/>
    </xf>
    <xf numFmtId="43" fontId="7" fillId="0" borderId="0" xfId="1" applyFont="1"/>
    <xf numFmtId="49" fontId="7" fillId="0" borderId="0" xfId="0" applyNumberFormat="1" applyFont="1" applyAlignment="1">
      <alignment horizontal="center"/>
    </xf>
    <xf numFmtId="14" fontId="7" fillId="0" borderId="0" xfId="0" applyNumberFormat="1" applyFont="1" applyAlignment="1">
      <alignment horizontal="center"/>
    </xf>
    <xf numFmtId="43" fontId="65" fillId="0" borderId="0" xfId="1" applyFont="1"/>
    <xf numFmtId="43" fontId="7" fillId="9" borderId="0" xfId="1" applyFont="1" applyFill="1"/>
    <xf numFmtId="0" fontId="7" fillId="0" borderId="0" xfId="0" applyFont="1" applyFill="1"/>
    <xf numFmtId="43" fontId="65" fillId="0" borderId="0" xfId="1" applyFont="1" applyFill="1"/>
    <xf numFmtId="14" fontId="7" fillId="9" borderId="0" xfId="0" applyNumberFormat="1" applyFont="1" applyFill="1" applyAlignment="1">
      <alignment horizontal="center"/>
    </xf>
    <xf numFmtId="0" fontId="7" fillId="9" borderId="0" xfId="0" applyFont="1" applyFill="1" applyAlignment="1">
      <alignment horizontal="center"/>
    </xf>
    <xf numFmtId="0" fontId="7" fillId="9" borderId="0" xfId="0" applyFont="1" applyFill="1"/>
    <xf numFmtId="49" fontId="7" fillId="9" borderId="0" xfId="0" applyNumberFormat="1" applyFont="1" applyFill="1" applyAlignment="1">
      <alignment horizontal="center"/>
    </xf>
    <xf numFmtId="14" fontId="7" fillId="0" borderId="0" xfId="0" applyNumberFormat="1" applyFont="1" applyFill="1" applyAlignment="1">
      <alignment horizontal="center"/>
    </xf>
    <xf numFmtId="0" fontId="7" fillId="0" borderId="0" xfId="0" applyFont="1" applyFill="1" applyAlignment="1">
      <alignment horizontal="center"/>
    </xf>
    <xf numFmtId="43" fontId="7" fillId="0" borderId="0" xfId="1" applyFont="1" applyFill="1"/>
    <xf numFmtId="49" fontId="7" fillId="0" borderId="0" xfId="0" applyNumberFormat="1" applyFont="1" applyFill="1" applyAlignment="1">
      <alignment horizontal="center"/>
    </xf>
    <xf numFmtId="0" fontId="7" fillId="0" borderId="20" xfId="0" applyFont="1" applyBorder="1" applyAlignment="1">
      <alignment horizontal="center"/>
    </xf>
    <xf numFmtId="43" fontId="7" fillId="0" borderId="20" xfId="1" applyFont="1" applyBorder="1" applyAlignment="1">
      <alignment horizontal="center"/>
    </xf>
    <xf numFmtId="49" fontId="7" fillId="0" borderId="20" xfId="0" applyNumberFormat="1" applyFont="1" applyBorder="1" applyAlignment="1">
      <alignment horizontal="center"/>
    </xf>
    <xf numFmtId="43" fontId="7" fillId="0" borderId="23" xfId="1" applyFont="1" applyBorder="1"/>
    <xf numFmtId="0" fontId="12" fillId="0" borderId="0" xfId="0" applyFont="1" applyAlignment="1">
      <alignment horizontal="left"/>
    </xf>
    <xf numFmtId="0" fontId="66" fillId="0" borderId="0" xfId="0" applyFont="1" applyAlignment="1">
      <alignment horizontal="left"/>
    </xf>
    <xf numFmtId="0" fontId="7" fillId="13" borderId="0" xfId="0" applyFont="1" applyFill="1" applyBorder="1" applyAlignment="1">
      <alignment vertical="center"/>
    </xf>
    <xf numFmtId="0" fontId="0" fillId="13" borderId="0" xfId="0" applyFill="1" applyAlignment="1">
      <alignment vertical="center"/>
    </xf>
    <xf numFmtId="14" fontId="7" fillId="7" borderId="0" xfId="0" applyNumberFormat="1" applyFont="1" applyFill="1" applyAlignment="1">
      <alignment horizontal="center"/>
    </xf>
    <xf numFmtId="0" fontId="7" fillId="7" borderId="0" xfId="0" applyFont="1" applyFill="1" applyAlignment="1">
      <alignment horizontal="center"/>
    </xf>
    <xf numFmtId="43" fontId="65" fillId="7" borderId="0" xfId="1" applyFont="1" applyFill="1"/>
    <xf numFmtId="43" fontId="7" fillId="7" borderId="0" xfId="1" applyFont="1" applyFill="1"/>
    <xf numFmtId="43" fontId="55" fillId="7" borderId="0" xfId="1" applyFont="1" applyFill="1"/>
    <xf numFmtId="0" fontId="7" fillId="7" borderId="0" xfId="0" applyFont="1" applyFill="1"/>
    <xf numFmtId="49" fontId="7" fillId="7" borderId="0" xfId="0" applyNumberFormat="1" applyFont="1" applyFill="1" applyAlignment="1">
      <alignment horizontal="center"/>
    </xf>
    <xf numFmtId="0" fontId="45" fillId="7" borderId="2" xfId="0" applyFont="1" applyFill="1" applyBorder="1" applyAlignment="1">
      <alignment horizontal="center" vertical="center" wrapText="1"/>
    </xf>
    <xf numFmtId="0" fontId="45" fillId="7" borderId="10" xfId="0" applyFont="1" applyFill="1" applyBorder="1" applyAlignment="1">
      <alignment horizontal="center" vertical="center" wrapText="1"/>
    </xf>
    <xf numFmtId="0" fontId="45" fillId="7" borderId="3" xfId="0" applyFont="1" applyFill="1" applyBorder="1" applyAlignment="1">
      <alignment horizontal="center" vertical="center" wrapText="1"/>
    </xf>
    <xf numFmtId="0" fontId="45" fillId="7" borderId="22" xfId="0" applyFont="1" applyFill="1" applyBorder="1" applyAlignment="1">
      <alignment horizontal="center" vertical="center" wrapText="1"/>
    </xf>
    <xf numFmtId="0" fontId="45" fillId="7" borderId="0" xfId="0" applyFont="1" applyFill="1" applyBorder="1" applyAlignment="1">
      <alignment horizontal="center" vertical="center" wrapText="1"/>
    </xf>
    <xf numFmtId="0" fontId="45" fillId="7" borderId="21" xfId="0" applyFont="1" applyFill="1" applyBorder="1" applyAlignment="1">
      <alignment horizontal="center" vertical="center" wrapText="1"/>
    </xf>
    <xf numFmtId="0" fontId="45" fillId="7" borderId="12" xfId="0" applyFont="1" applyFill="1" applyBorder="1" applyAlignment="1">
      <alignment horizontal="center" vertical="center" wrapText="1"/>
    </xf>
    <xf numFmtId="0" fontId="45" fillId="7" borderId="20" xfId="0" applyFont="1" applyFill="1" applyBorder="1" applyAlignment="1">
      <alignment horizontal="center" vertical="center" wrapText="1"/>
    </xf>
    <xf numFmtId="0" fontId="45" fillId="7" borderId="16" xfId="0" applyFont="1" applyFill="1" applyBorder="1" applyAlignment="1">
      <alignment horizontal="center" vertical="center" wrapText="1"/>
    </xf>
    <xf numFmtId="0" fontId="7" fillId="0" borderId="0" xfId="0" applyFont="1" applyAlignment="1">
      <alignment vertical="center"/>
    </xf>
    <xf numFmtId="0" fontId="10" fillId="0" borderId="0" xfId="0" applyFont="1" applyAlignment="1">
      <alignment vertical="center"/>
    </xf>
    <xf numFmtId="0" fontId="7" fillId="0" borderId="0" xfId="0" applyFont="1" applyAlignment="1">
      <alignment horizontal="left" vertical="center"/>
    </xf>
    <xf numFmtId="0" fontId="7" fillId="0" borderId="21" xfId="0" applyFont="1" applyBorder="1" applyAlignment="1">
      <alignment horizontal="left" vertical="center"/>
    </xf>
    <xf numFmtId="0" fontId="36" fillId="0" borderId="20" xfId="21" applyFont="1" applyFill="1" applyBorder="1" applyAlignment="1">
      <alignment horizontal="center" vertical="center"/>
    </xf>
    <xf numFmtId="0" fontId="40" fillId="7" borderId="1" xfId="21" applyFont="1" applyFill="1" applyBorder="1" applyAlignment="1">
      <alignment horizontal="center" vertical="center"/>
    </xf>
    <xf numFmtId="0" fontId="40" fillId="7" borderId="18" xfId="21" applyFont="1" applyFill="1" applyBorder="1" applyAlignment="1">
      <alignment horizontal="center" vertical="center"/>
    </xf>
    <xf numFmtId="0" fontId="40" fillId="0" borderId="18" xfId="21" applyFont="1" applyFill="1" applyBorder="1" applyAlignment="1">
      <alignment horizontal="center" wrapText="1"/>
    </xf>
    <xf numFmtId="0" fontId="40" fillId="0" borderId="15" xfId="21" applyFont="1" applyFill="1" applyBorder="1" applyAlignment="1">
      <alignment horizontal="center" wrapText="1"/>
    </xf>
    <xf numFmtId="0" fontId="40" fillId="0" borderId="1" xfId="21" applyFont="1" applyFill="1" applyBorder="1" applyAlignment="1">
      <alignment horizontal="center" wrapText="1"/>
    </xf>
    <xf numFmtId="0" fontId="40" fillId="0" borderId="1" xfId="21" applyFont="1" applyFill="1" applyBorder="1" applyAlignment="1">
      <alignment horizontal="center"/>
    </xf>
    <xf numFmtId="0" fontId="36" fillId="7" borderId="2" xfId="23" applyFont="1" applyFill="1" applyBorder="1" applyAlignment="1">
      <alignment horizontal="center" vertical="center"/>
    </xf>
    <xf numFmtId="0" fontId="36" fillId="7" borderId="10" xfId="23" applyFont="1" applyFill="1" applyBorder="1" applyAlignment="1">
      <alignment horizontal="center" vertical="center"/>
    </xf>
    <xf numFmtId="0" fontId="36" fillId="7" borderId="3" xfId="23" applyFont="1" applyFill="1" applyBorder="1" applyAlignment="1">
      <alignment horizontal="center" vertical="center"/>
    </xf>
    <xf numFmtId="0" fontId="2" fillId="7" borderId="1" xfId="23" applyFont="1" applyFill="1" applyBorder="1" applyAlignment="1">
      <alignment horizontal="left"/>
    </xf>
    <xf numFmtId="0" fontId="50" fillId="0" borderId="22" xfId="0" applyFont="1" applyBorder="1" applyAlignment="1">
      <alignment horizontal="left" vertical="center" wrapText="1"/>
    </xf>
    <xf numFmtId="0" fontId="50" fillId="0" borderId="0" xfId="0" applyFont="1" applyAlignment="1">
      <alignment horizontal="left" vertical="center" wrapText="1"/>
    </xf>
    <xf numFmtId="43" fontId="8" fillId="5" borderId="2" xfId="1" applyFont="1" applyFill="1" applyBorder="1" applyAlignment="1">
      <alignment horizontal="center"/>
    </xf>
    <xf numFmtId="43" fontId="8" fillId="5" borderId="3" xfId="1" applyFont="1" applyFill="1" applyBorder="1" applyAlignment="1">
      <alignment horizontal="center"/>
    </xf>
    <xf numFmtId="0" fontId="8" fillId="6" borderId="2" xfId="0" applyFont="1" applyFill="1" applyBorder="1" applyAlignment="1">
      <alignment horizontal="center"/>
    </xf>
    <xf numFmtId="0" fontId="8" fillId="6" borderId="3" xfId="0" applyFont="1" applyFill="1" applyBorder="1" applyAlignment="1">
      <alignment horizontal="center"/>
    </xf>
    <xf numFmtId="0" fontId="49" fillId="0" borderId="0" xfId="0" applyFont="1" applyAlignment="1">
      <alignment horizontal="left" vertical="center" wrapText="1"/>
    </xf>
    <xf numFmtId="164" fontId="2" fillId="0" borderId="0" xfId="21" applyNumberFormat="1" applyFont="1" applyAlignment="1">
      <alignment vertical="center"/>
    </xf>
  </cellXfs>
  <cellStyles count="25">
    <cellStyle name="Comma" xfId="1" builtinId="3"/>
    <cellStyle name="Comma 2" xfId="8"/>
    <cellStyle name="Comma 2 2" xfId="9"/>
    <cellStyle name="Comma 3" xfId="12"/>
    <cellStyle name="Currency" xfId="2" builtinId="4"/>
    <cellStyle name="Currency 2" xfId="10"/>
    <cellStyle name="Currency 3" xfId="15"/>
    <cellStyle name="Currency 4" xfId="17"/>
    <cellStyle name="Currency 5" xfId="20"/>
    <cellStyle name="Currency 5 2" xfId="22"/>
    <cellStyle name="Hyperlink" xfId="13" builtinId="8"/>
    <cellStyle name="Normal" xfId="0" builtinId="0"/>
    <cellStyle name="Normal 2" xfId="4"/>
    <cellStyle name="Normal 2 2" xfId="5"/>
    <cellStyle name="Normal 3" xfId="7"/>
    <cellStyle name="Normal 4" xfId="11"/>
    <cellStyle name="Normal 5" xfId="6"/>
    <cellStyle name="Normal 6" xfId="14"/>
    <cellStyle name="Normal 6 2" xfId="23"/>
    <cellStyle name="Normal 7" xfId="16"/>
    <cellStyle name="Normal 7 2" xfId="24"/>
    <cellStyle name="Normal 8" xfId="19"/>
    <cellStyle name="Normal 8 2" xfId="21"/>
    <cellStyle name="Percent" xfId="3" builtinId="5"/>
    <cellStyle name="Percent 2" xfId="18"/>
  </cellStyles>
  <dxfs count="13">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rgb="FFFF0000"/>
      </font>
    </dxf>
    <dxf>
      <font>
        <b/>
        <i val="0"/>
        <color auto="1"/>
      </font>
      <fill>
        <patternFill>
          <bgColor rgb="FFFF0000"/>
        </patternFill>
      </fill>
    </dxf>
    <dxf>
      <fill>
        <patternFill>
          <bgColor rgb="FFFFC000"/>
        </patternFill>
      </fill>
    </dxf>
    <dxf>
      <fill>
        <patternFill>
          <bgColor rgb="FFFF0000"/>
        </patternFill>
      </fill>
    </dxf>
  </dxfs>
  <tableStyles count="0" defaultTableStyle="TableStyleMedium9" defaultPivotStyle="PivotStyleLight16"/>
  <colors>
    <mruColors>
      <color rgb="FFFFFFCC"/>
      <color rgb="FFCCFFCC"/>
      <color rgb="FFFF33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2529619</xdr:colOff>
      <xdr:row>34</xdr:row>
      <xdr:rowOff>19051</xdr:rowOff>
    </xdr:from>
    <xdr:to>
      <xdr:col>5</xdr:col>
      <xdr:colOff>2792509</xdr:colOff>
      <xdr:row>37</xdr:row>
      <xdr:rowOff>152401</xdr:rowOff>
    </xdr:to>
    <xdr:sp macro="" textlink="">
      <xdr:nvSpPr>
        <xdr:cNvPr id="2" name="Right Brace 1"/>
        <xdr:cNvSpPr/>
      </xdr:nvSpPr>
      <xdr:spPr>
        <a:xfrm>
          <a:off x="8995413" y="5655610"/>
          <a:ext cx="262890" cy="637615"/>
        </a:xfrm>
        <a:prstGeom prst="rightBrace">
          <a:avLst>
            <a:gd name="adj1" fmla="val 8333"/>
            <a:gd name="adj2" fmla="val 4859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en-US" sz="1100"/>
        </a:p>
      </xdr:txBody>
    </xdr:sp>
    <xdr:clientData/>
  </xdr:twoCellAnchor>
  <xdr:twoCellAnchor>
    <xdr:from>
      <xdr:col>5</xdr:col>
      <xdr:colOff>2841253</xdr:colOff>
      <xdr:row>33</xdr:row>
      <xdr:rowOff>82923</xdr:rowOff>
    </xdr:from>
    <xdr:to>
      <xdr:col>9</xdr:col>
      <xdr:colOff>369797</xdr:colOff>
      <xdr:row>38</xdr:row>
      <xdr:rowOff>78442</xdr:rowOff>
    </xdr:to>
    <xdr:sp macro="" textlink="">
      <xdr:nvSpPr>
        <xdr:cNvPr id="3" name="TextBox 2"/>
        <xdr:cNvSpPr txBox="1"/>
      </xdr:nvSpPr>
      <xdr:spPr>
        <a:xfrm>
          <a:off x="9307047" y="5551394"/>
          <a:ext cx="5832103" cy="8359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INSTRUCTIONS:</a:t>
          </a:r>
          <a:r>
            <a:rPr lang="en-US" sz="1100" baseline="0"/>
            <a:t> if warrants/checks are written for interfund transactions, then </a:t>
          </a:r>
          <a:r>
            <a:rPr lang="en-US" sz="1100" u="sng" baseline="0"/>
            <a:t>don't include</a:t>
          </a:r>
          <a:r>
            <a:rPr lang="en-US" sz="1100" baseline="0"/>
            <a:t> these as reconciling items (because in such cases, the transactions </a:t>
          </a:r>
          <a:r>
            <a:rPr lang="en-US" sz="1100" u="sng" baseline="0"/>
            <a:t>would</a:t>
          </a:r>
          <a:r>
            <a:rPr lang="en-US" sz="1100" u="none" baseline="0"/>
            <a:t> have a bank effect).  </a:t>
          </a:r>
          <a:r>
            <a:rPr lang="en-US" sz="1100" i="1" u="none" baseline="0"/>
            <a:t>Auditors could confirm their inquiry by comparing total amounts charged to these BARS accounts per the warrant register to the financial statement totals for these BARS accounts.</a:t>
          </a:r>
          <a:endParaRPr lang="en-US" sz="1100" i="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sv.wa.lcl\sao\Documents%20and%20Settings\devineys\My%20Documents\Cash%20Reconciliation%2008%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heet1"/>
      <sheetName val="Input"/>
      <sheetName val="Sch 11&amp;12"/>
      <sheetName val="Financial Stmts"/>
      <sheetName val="Revolving Funds"/>
      <sheetName val="Account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www.sao.wa.gov/bars_cash/reporting/sao-annual-report-schedules/summary-of-bank-reconciliations-schedule-06/"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sao.wa.gov/bars_cash/accounting/expenditures/imprest-petty-cash-and-other-revolving-funds/" TargetMode="External"/><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M157"/>
  <sheetViews>
    <sheetView showGridLines="0" zoomScaleNormal="100" zoomScaleSheetLayoutView="100" workbookViewId="0">
      <selection activeCell="E145" sqref="E145"/>
    </sheetView>
  </sheetViews>
  <sheetFormatPr defaultRowHeight="12.75"/>
  <cols>
    <col min="1" max="3" width="4.140625" style="56" customWidth="1"/>
    <col min="4" max="4" width="68.85546875" style="56" customWidth="1"/>
    <col min="5" max="5" width="15.42578125" style="56" customWidth="1"/>
    <col min="6" max="6" width="64.5703125" style="119" customWidth="1"/>
    <col min="7" max="7" width="1.7109375" style="55" customWidth="1"/>
    <col min="8" max="8" width="42.7109375" style="123" customWidth="1"/>
    <col min="9" max="9" width="15.5703125" style="124" bestFit="1" customWidth="1"/>
    <col min="10" max="10" width="48.85546875" style="125" customWidth="1"/>
    <col min="11" max="11" width="9.140625" style="125"/>
    <col min="12" max="12" width="9.140625" style="115"/>
    <col min="13" max="13" width="40.28515625" style="115" bestFit="1" customWidth="1"/>
    <col min="14" max="14" width="6.140625" style="56" bestFit="1" customWidth="1"/>
    <col min="15" max="16384" width="9.140625" style="56"/>
  </cols>
  <sheetData>
    <row r="1" spans="1:10">
      <c r="A1" s="54" t="s">
        <v>59</v>
      </c>
      <c r="B1" s="54"/>
      <c r="C1" s="54"/>
      <c r="D1" s="55" t="s">
        <v>60</v>
      </c>
      <c r="E1" s="54"/>
      <c r="F1" s="117"/>
      <c r="G1" s="114"/>
      <c r="H1" s="300" t="s">
        <v>176</v>
      </c>
      <c r="I1" s="301"/>
      <c r="J1" s="302"/>
    </row>
    <row r="2" spans="1:10" ht="12.75" customHeight="1">
      <c r="A2" s="306" t="s">
        <v>42</v>
      </c>
      <c r="B2" s="307"/>
      <c r="C2" s="307"/>
      <c r="D2" s="307"/>
      <c r="E2" s="307"/>
      <c r="F2" s="307"/>
      <c r="G2" s="114"/>
      <c r="H2" s="300"/>
      <c r="I2" s="301"/>
      <c r="J2" s="302"/>
    </row>
    <row r="3" spans="1:10" ht="12.75" customHeight="1">
      <c r="A3" s="54" t="s">
        <v>43</v>
      </c>
      <c r="B3" s="54"/>
      <c r="C3" s="54"/>
      <c r="D3" s="57"/>
      <c r="E3" s="57"/>
      <c r="F3" s="118"/>
      <c r="G3" s="114"/>
      <c r="H3" s="300"/>
      <c r="I3" s="301"/>
      <c r="J3" s="302"/>
    </row>
    <row r="4" spans="1:10">
      <c r="G4" s="114"/>
      <c r="H4" s="303"/>
      <c r="I4" s="304"/>
      <c r="J4" s="305"/>
    </row>
    <row r="5" spans="1:10" ht="22.5" customHeight="1">
      <c r="A5" s="168" t="s">
        <v>20</v>
      </c>
      <c r="B5" s="166"/>
      <c r="C5" s="166"/>
      <c r="D5" s="166"/>
      <c r="E5" s="166"/>
      <c r="F5" s="167" t="s">
        <v>34</v>
      </c>
      <c r="G5" s="116"/>
      <c r="H5" s="297" t="s">
        <v>175</v>
      </c>
      <c r="I5" s="298"/>
      <c r="J5" s="299"/>
    </row>
    <row r="6" spans="1:10">
      <c r="G6" s="114"/>
      <c r="H6" s="130"/>
      <c r="I6" s="127"/>
      <c r="J6" s="131"/>
    </row>
    <row r="7" spans="1:10">
      <c r="A7" s="308" t="s">
        <v>362</v>
      </c>
      <c r="B7" s="308"/>
      <c r="C7" s="308"/>
      <c r="D7" s="309"/>
      <c r="E7" s="67">
        <f>58651715+1653740</f>
        <v>60305455</v>
      </c>
      <c r="F7" s="119" t="s">
        <v>363</v>
      </c>
      <c r="G7" s="114"/>
      <c r="H7" s="130" t="s">
        <v>148</v>
      </c>
      <c r="I7" s="127">
        <f>'2023 Bank Statements'!B2</f>
        <v>65528198.359999992</v>
      </c>
      <c r="J7" s="131" t="s">
        <v>147</v>
      </c>
    </row>
    <row r="8" spans="1:10">
      <c r="A8" s="308" t="s">
        <v>134</v>
      </c>
      <c r="B8" s="308"/>
      <c r="C8" s="308"/>
      <c r="D8" s="309"/>
      <c r="E8" s="194">
        <v>0</v>
      </c>
      <c r="F8" s="242" t="s">
        <v>252</v>
      </c>
      <c r="G8" s="114"/>
      <c r="H8" s="132" t="s">
        <v>151</v>
      </c>
      <c r="I8" s="127">
        <f>-1*SUM(E51:E52)</f>
        <v>329277</v>
      </c>
      <c r="J8" s="133" t="s">
        <v>91</v>
      </c>
    </row>
    <row r="9" spans="1:10">
      <c r="A9" s="308" t="s">
        <v>135</v>
      </c>
      <c r="B9" s="308"/>
      <c r="C9" s="308"/>
      <c r="D9" s="309"/>
      <c r="E9" s="67">
        <v>60305455</v>
      </c>
      <c r="F9" s="119" t="s">
        <v>364</v>
      </c>
      <c r="G9" s="114"/>
      <c r="H9" s="132" t="s">
        <v>152</v>
      </c>
      <c r="I9" s="127">
        <f>SUM(E104:E106)</f>
        <v>0</v>
      </c>
      <c r="J9" s="133" t="s">
        <v>91</v>
      </c>
    </row>
    <row r="10" spans="1:10">
      <c r="A10" s="58"/>
      <c r="B10" s="54" t="s">
        <v>21</v>
      </c>
      <c r="C10" s="58"/>
      <c r="D10" s="54"/>
      <c r="E10" s="60">
        <f>E7-E8-E9</f>
        <v>0</v>
      </c>
      <c r="F10" s="120">
        <f>IF(E7=0, 0, E10/E7)</f>
        <v>0</v>
      </c>
      <c r="G10" s="114"/>
      <c r="H10" s="132" t="s">
        <v>153</v>
      </c>
      <c r="I10" s="128">
        <f>E8*-1</f>
        <v>0</v>
      </c>
      <c r="J10" s="131" t="s">
        <v>149</v>
      </c>
    </row>
    <row r="11" spans="1:10">
      <c r="G11" s="114"/>
      <c r="H11" s="130" t="s">
        <v>150</v>
      </c>
      <c r="I11" s="127">
        <f>SUM(I7:I10)</f>
        <v>65857475.359999992</v>
      </c>
      <c r="J11" s="131"/>
    </row>
    <row r="12" spans="1:10">
      <c r="B12" s="52" t="s">
        <v>63</v>
      </c>
      <c r="C12" s="52"/>
      <c r="D12" s="52"/>
      <c r="G12" s="114"/>
      <c r="H12" s="130"/>
      <c r="I12" s="127"/>
      <c r="J12" s="131"/>
    </row>
    <row r="13" spans="1:10">
      <c r="C13" s="61"/>
      <c r="D13" s="62"/>
      <c r="E13" s="63"/>
      <c r="G13" s="114"/>
      <c r="H13" s="130" t="s">
        <v>154</v>
      </c>
      <c r="I13" s="127">
        <f>E7</f>
        <v>60305455</v>
      </c>
      <c r="J13" s="131"/>
    </row>
    <row r="14" spans="1:10">
      <c r="C14" s="64"/>
      <c r="D14" s="62"/>
      <c r="E14" s="63"/>
      <c r="G14" s="114"/>
      <c r="H14" s="130" t="s">
        <v>155</v>
      </c>
      <c r="I14" s="128">
        <f>'2023 Schedule 06'!B42</f>
        <v>65584068.939999998</v>
      </c>
      <c r="J14" s="133"/>
    </row>
    <row r="15" spans="1:10">
      <c r="D15" s="52" t="s">
        <v>64</v>
      </c>
      <c r="E15" s="65">
        <f>SUM(E13:E14)</f>
        <v>0</v>
      </c>
      <c r="H15" s="135" t="s">
        <v>21</v>
      </c>
      <c r="I15" s="127">
        <f>I13-I14</f>
        <v>-5278613.9399999976</v>
      </c>
      <c r="J15" s="133"/>
    </row>
    <row r="16" spans="1:10">
      <c r="H16" s="134"/>
      <c r="I16" s="127"/>
      <c r="J16" s="131"/>
    </row>
    <row r="17" spans="1:10" ht="13.5" thickBot="1">
      <c r="D17" s="54" t="s">
        <v>61</v>
      </c>
      <c r="E17" s="66">
        <f>E10+E15</f>
        <v>0</v>
      </c>
      <c r="F17" s="120">
        <f>IF(E7=0, 0, E17/E7)</f>
        <v>0</v>
      </c>
      <c r="H17" s="130"/>
      <c r="I17" s="127"/>
      <c r="J17" s="131"/>
    </row>
    <row r="18" spans="1:10" ht="13.5" thickTop="1">
      <c r="D18" s="54"/>
      <c r="E18" s="98"/>
      <c r="F18" s="120"/>
      <c r="G18" s="93"/>
      <c r="H18" s="135"/>
      <c r="I18" s="127"/>
      <c r="J18" s="131"/>
    </row>
    <row r="19" spans="1:10">
      <c r="D19" s="54"/>
      <c r="E19" s="98"/>
      <c r="F19" s="120"/>
      <c r="G19" s="93"/>
      <c r="H19" s="130"/>
      <c r="I19" s="127"/>
      <c r="J19" s="131"/>
    </row>
    <row r="20" spans="1:10" ht="21" customHeight="1">
      <c r="A20" s="171" t="s">
        <v>27</v>
      </c>
      <c r="B20" s="175"/>
      <c r="C20" s="175"/>
      <c r="D20" s="175"/>
      <c r="E20" s="175"/>
      <c r="F20" s="176" t="s">
        <v>34</v>
      </c>
      <c r="H20" s="297" t="s">
        <v>175</v>
      </c>
      <c r="I20" s="298"/>
      <c r="J20" s="299"/>
    </row>
    <row r="21" spans="1:10" ht="13.5" thickBot="1">
      <c r="H21" s="130"/>
      <c r="I21" s="127"/>
      <c r="J21" s="131"/>
    </row>
    <row r="22" spans="1:10" ht="13.5" thickBot="1">
      <c r="A22" s="55" t="s">
        <v>165</v>
      </c>
      <c r="B22" s="58"/>
      <c r="C22" s="58"/>
      <c r="E22" s="104">
        <f>'2023 Bank Statements'!B3</f>
        <v>116564428.23999998</v>
      </c>
      <c r="F22" s="119" t="s">
        <v>221</v>
      </c>
      <c r="H22" s="130"/>
      <c r="I22" s="127"/>
      <c r="J22" s="131"/>
    </row>
    <row r="23" spans="1:10">
      <c r="H23" s="135"/>
      <c r="I23" s="127"/>
      <c r="J23" s="131"/>
    </row>
    <row r="24" spans="1:10">
      <c r="A24" s="52" t="s">
        <v>96</v>
      </c>
      <c r="H24" s="130"/>
      <c r="I24" s="127"/>
      <c r="J24" s="131"/>
    </row>
    <row r="25" spans="1:10">
      <c r="B25" s="55" t="s">
        <v>136</v>
      </c>
      <c r="E25" s="97"/>
      <c r="H25" s="130"/>
      <c r="I25" s="127"/>
      <c r="J25" s="131"/>
    </row>
    <row r="26" spans="1:10">
      <c r="B26" s="91"/>
      <c r="C26" s="91" t="s">
        <v>79</v>
      </c>
      <c r="E26" s="67">
        <f>-'2023 Bank Statements'!B4</f>
        <v>-26124869.57</v>
      </c>
      <c r="F26" s="158" t="s">
        <v>220</v>
      </c>
      <c r="G26" s="91"/>
      <c r="H26" s="136" t="s">
        <v>167</v>
      </c>
      <c r="I26" s="127">
        <f>E26</f>
        <v>-26124869.57</v>
      </c>
      <c r="J26" s="137"/>
    </row>
    <row r="27" spans="1:10">
      <c r="B27" s="91"/>
      <c r="C27" s="55" t="s">
        <v>235</v>
      </c>
      <c r="E27" s="194">
        <v>-54982.63</v>
      </c>
      <c r="F27" s="119" t="s">
        <v>365</v>
      </c>
      <c r="G27" s="91"/>
      <c r="H27" s="130" t="s">
        <v>156</v>
      </c>
      <c r="I27" s="128">
        <f>'2023 Schedule 06'!D25</f>
        <v>26124869.57</v>
      </c>
      <c r="J27" s="138"/>
    </row>
    <row r="28" spans="1:10">
      <c r="B28" s="91"/>
      <c r="C28" s="55" t="s">
        <v>77</v>
      </c>
      <c r="E28" s="194"/>
      <c r="F28" s="242" t="s">
        <v>222</v>
      </c>
      <c r="G28" s="91"/>
      <c r="H28" s="135" t="s">
        <v>21</v>
      </c>
      <c r="I28" s="127">
        <f>I26-I27</f>
        <v>-52249739.140000001</v>
      </c>
      <c r="J28" s="131"/>
    </row>
    <row r="29" spans="1:10">
      <c r="B29" s="91"/>
      <c r="C29" s="288" t="s">
        <v>78</v>
      </c>
      <c r="D29" s="289"/>
      <c r="E29" s="194"/>
      <c r="F29" s="242" t="s">
        <v>222</v>
      </c>
      <c r="G29" s="91"/>
      <c r="H29" s="130"/>
      <c r="I29" s="127"/>
      <c r="J29" s="131"/>
    </row>
    <row r="30" spans="1:10">
      <c r="B30" s="111"/>
      <c r="C30" s="84" t="s">
        <v>228</v>
      </c>
      <c r="D30" s="81"/>
      <c r="E30" s="243"/>
      <c r="F30" s="242" t="s">
        <v>238</v>
      </c>
      <c r="G30" s="111"/>
      <c r="H30" s="130"/>
      <c r="I30" s="127"/>
      <c r="J30" s="131"/>
    </row>
    <row r="31" spans="1:10">
      <c r="D31" s="52" t="s">
        <v>137</v>
      </c>
      <c r="E31" s="65">
        <f>SUM(E26:E30)</f>
        <v>-26179852.199999999</v>
      </c>
      <c r="H31" s="130"/>
      <c r="I31" s="127"/>
      <c r="J31" s="131"/>
    </row>
    <row r="32" spans="1:10">
      <c r="H32" s="130"/>
      <c r="I32" s="127"/>
      <c r="J32" s="131"/>
    </row>
    <row r="33" spans="1:10">
      <c r="A33" s="52" t="s">
        <v>65</v>
      </c>
      <c r="H33" s="130"/>
      <c r="I33" s="127"/>
      <c r="J33" s="131"/>
    </row>
    <row r="34" spans="1:10" ht="13.5">
      <c r="A34" s="72"/>
      <c r="B34" s="92" t="s">
        <v>138</v>
      </c>
      <c r="C34" s="58"/>
      <c r="E34" s="97"/>
      <c r="H34" s="130"/>
      <c r="I34" s="127"/>
      <c r="J34" s="131"/>
    </row>
    <row r="35" spans="1:10" ht="13.5">
      <c r="A35" s="72"/>
      <c r="C35" s="89" t="s">
        <v>80</v>
      </c>
      <c r="D35" s="81"/>
      <c r="E35" s="194"/>
      <c r="F35" s="244" t="s">
        <v>352</v>
      </c>
      <c r="G35" s="92"/>
      <c r="H35" s="130"/>
      <c r="I35" s="127"/>
      <c r="J35" s="131"/>
    </row>
    <row r="36" spans="1:10" ht="13.5">
      <c r="A36" s="72"/>
      <c r="C36" s="92" t="s">
        <v>223</v>
      </c>
      <c r="D36" s="84"/>
      <c r="E36" s="67">
        <v>1695656.03</v>
      </c>
      <c r="F36" s="112" t="s">
        <v>224</v>
      </c>
      <c r="H36" s="130"/>
      <c r="I36" s="127"/>
      <c r="J36" s="131"/>
    </row>
    <row r="37" spans="1:10" ht="13.5">
      <c r="A37" s="72"/>
      <c r="C37" s="92" t="s">
        <v>225</v>
      </c>
      <c r="D37" s="81"/>
      <c r="E37" s="67">
        <v>82000</v>
      </c>
      <c r="F37" s="112" t="s">
        <v>226</v>
      </c>
      <c r="H37" s="130"/>
      <c r="I37" s="127"/>
      <c r="J37" s="131"/>
    </row>
    <row r="38" spans="1:10" ht="13.5">
      <c r="A38" s="72"/>
      <c r="C38" s="92" t="s">
        <v>227</v>
      </c>
      <c r="D38" s="81"/>
      <c r="E38" s="194">
        <v>674261.13</v>
      </c>
      <c r="F38" s="112" t="s">
        <v>240</v>
      </c>
      <c r="H38" s="130"/>
      <c r="I38" s="127"/>
      <c r="J38" s="131"/>
    </row>
    <row r="39" spans="1:10" ht="13.5">
      <c r="A39" s="72"/>
      <c r="C39" s="84" t="s">
        <v>236</v>
      </c>
      <c r="E39" s="67">
        <f>2318565.39+10555.78</f>
        <v>2329121.17</v>
      </c>
      <c r="F39" s="112" t="s">
        <v>353</v>
      </c>
      <c r="G39" s="93"/>
      <c r="H39" s="130"/>
      <c r="I39" s="127"/>
      <c r="J39" s="131"/>
    </row>
    <row r="40" spans="1:10" ht="13.5">
      <c r="A40" s="72"/>
      <c r="C40" s="84"/>
      <c r="D40" s="81"/>
      <c r="E40" s="59"/>
      <c r="F40" s="157"/>
      <c r="G40" s="93"/>
      <c r="H40" s="130" t="s">
        <v>260</v>
      </c>
      <c r="I40" s="127">
        <f>E40</f>
        <v>0</v>
      </c>
      <c r="J40" s="131"/>
    </row>
    <row r="41" spans="1:10" ht="13.5">
      <c r="A41" s="72"/>
      <c r="C41" s="55" t="s">
        <v>83</v>
      </c>
      <c r="E41" s="59"/>
      <c r="F41" s="112"/>
      <c r="G41" s="93"/>
      <c r="H41" s="130" t="s">
        <v>261</v>
      </c>
      <c r="I41" s="128" t="b">
        <f>IF('2023 Schedule 06'!C33="+",0)</f>
        <v>0</v>
      </c>
      <c r="J41" s="131"/>
    </row>
    <row r="42" spans="1:10" ht="13.5">
      <c r="A42" s="72"/>
      <c r="C42" s="99"/>
      <c r="D42" s="110" t="s">
        <v>137</v>
      </c>
      <c r="E42" s="67">
        <f>SUM(E35:E41)</f>
        <v>4781038.33</v>
      </c>
      <c r="F42" s="112"/>
      <c r="G42" s="99"/>
      <c r="H42" s="135"/>
      <c r="I42" s="127">
        <f>I40-I41</f>
        <v>0</v>
      </c>
      <c r="J42" s="131"/>
    </row>
    <row r="43" spans="1:10">
      <c r="H43" s="130"/>
      <c r="I43" s="126"/>
      <c r="J43" s="131"/>
    </row>
    <row r="44" spans="1:10">
      <c r="A44" s="52" t="s">
        <v>81</v>
      </c>
      <c r="G44" s="93"/>
      <c r="H44" s="130"/>
      <c r="I44" s="127"/>
      <c r="J44" s="131"/>
    </row>
    <row r="45" spans="1:10">
      <c r="A45" s="52"/>
      <c r="B45" s="93" t="s">
        <v>88</v>
      </c>
      <c r="G45" s="93"/>
      <c r="H45" s="130"/>
      <c r="I45" s="127"/>
      <c r="J45" s="131"/>
    </row>
    <row r="46" spans="1:10">
      <c r="A46" s="68"/>
      <c r="C46" s="71" t="s">
        <v>229</v>
      </c>
      <c r="E46" s="67">
        <f>'2023 Bank Statements'!Q2</f>
        <v>147022.88</v>
      </c>
      <c r="F46" s="119" t="s">
        <v>232</v>
      </c>
      <c r="H46" s="130"/>
      <c r="I46" s="127"/>
      <c r="J46" s="131"/>
    </row>
    <row r="47" spans="1:10">
      <c r="A47" s="68"/>
      <c r="B47" s="69"/>
      <c r="C47" s="71" t="s">
        <v>230</v>
      </c>
      <c r="E47" s="67">
        <f>'2023 Bank Statements'!Q4</f>
        <v>60</v>
      </c>
      <c r="F47" s="119" t="s">
        <v>233</v>
      </c>
      <c r="G47" s="93"/>
      <c r="H47" s="130"/>
      <c r="I47" s="126"/>
      <c r="J47" s="131"/>
    </row>
    <row r="48" spans="1:10">
      <c r="A48" s="68"/>
      <c r="B48" s="69"/>
      <c r="C48" s="84" t="s">
        <v>89</v>
      </c>
      <c r="D48" s="81"/>
      <c r="E48" s="245"/>
      <c r="F48" s="119" t="s">
        <v>234</v>
      </c>
      <c r="G48" s="93"/>
      <c r="H48" s="130"/>
      <c r="I48" s="127"/>
      <c r="J48" s="131"/>
    </row>
    <row r="49" spans="1:10">
      <c r="A49" s="68"/>
      <c r="B49" s="69"/>
      <c r="C49" s="84"/>
      <c r="D49" s="81"/>
      <c r="E49" s="67">
        <f>SUM(E46:E48)</f>
        <v>147082.88</v>
      </c>
      <c r="G49" s="99"/>
      <c r="H49" s="135"/>
      <c r="I49" s="127"/>
      <c r="J49" s="131"/>
    </row>
    <row r="50" spans="1:10">
      <c r="A50" s="68"/>
      <c r="B50" s="71" t="s">
        <v>210</v>
      </c>
      <c r="C50" s="69"/>
      <c r="D50" s="81"/>
      <c r="E50" s="97"/>
      <c r="F50" s="121"/>
      <c r="G50" s="93"/>
      <c r="H50" s="130"/>
      <c r="I50" s="127"/>
      <c r="J50" s="131"/>
    </row>
    <row r="51" spans="1:10">
      <c r="A51" s="68"/>
      <c r="C51" s="71" t="s">
        <v>231</v>
      </c>
      <c r="D51" s="81"/>
      <c r="E51" s="67">
        <v>-300704</v>
      </c>
      <c r="F51" s="156" t="s">
        <v>366</v>
      </c>
      <c r="H51" s="130"/>
      <c r="I51" s="127"/>
      <c r="J51" s="131"/>
    </row>
    <row r="52" spans="1:10">
      <c r="A52" s="68"/>
      <c r="C52" s="71" t="s">
        <v>255</v>
      </c>
      <c r="D52" s="81"/>
      <c r="E52" s="67">
        <v>-28573</v>
      </c>
      <c r="F52" s="156" t="s">
        <v>367</v>
      </c>
      <c r="H52" s="130"/>
      <c r="I52" s="127"/>
      <c r="J52" s="131"/>
    </row>
    <row r="53" spans="1:10">
      <c r="A53" s="68"/>
      <c r="C53" s="84" t="s">
        <v>211</v>
      </c>
      <c r="D53" s="81"/>
      <c r="E53" s="245">
        <v>0</v>
      </c>
      <c r="F53" s="122"/>
      <c r="H53" s="135"/>
      <c r="I53" s="127"/>
      <c r="J53" s="131"/>
    </row>
    <row r="54" spans="1:10">
      <c r="A54" s="68"/>
      <c r="C54" s="84"/>
      <c r="D54" s="81"/>
      <c r="E54" s="67">
        <f>SUM(E51:E53)</f>
        <v>-329277</v>
      </c>
      <c r="F54" s="121"/>
      <c r="G54" s="99"/>
      <c r="H54" s="130"/>
      <c r="I54" s="127"/>
      <c r="J54" s="131"/>
    </row>
    <row r="55" spans="1:10" ht="13.5" thickBot="1">
      <c r="A55" s="93"/>
      <c r="G55" s="93"/>
      <c r="H55" s="130"/>
      <c r="I55" s="127"/>
      <c r="J55" s="131"/>
    </row>
    <row r="56" spans="1:10" ht="13.5" thickBot="1">
      <c r="C56" s="76" t="s">
        <v>25</v>
      </c>
      <c r="E56" s="105">
        <f>E31+E42+E49+E54</f>
        <v>-21581007.989999998</v>
      </c>
      <c r="H56" s="130" t="s">
        <v>157</v>
      </c>
      <c r="I56" s="127">
        <f>E56-E26</f>
        <v>4543861.5800000019</v>
      </c>
      <c r="J56" s="131" t="s">
        <v>162</v>
      </c>
    </row>
    <row r="57" spans="1:10" ht="13.5" thickBot="1">
      <c r="D57" s="52" t="s">
        <v>62</v>
      </c>
      <c r="E57" s="103">
        <f>E22+E56</f>
        <v>94983420.249999985</v>
      </c>
      <c r="H57" s="132" t="s">
        <v>158</v>
      </c>
      <c r="I57" s="128">
        <f>'2023 Schedule 06'!C38</f>
        <v>313821.04000000004</v>
      </c>
      <c r="J57" s="131"/>
    </row>
    <row r="58" spans="1:10">
      <c r="G58" s="95"/>
      <c r="H58" s="135" t="s">
        <v>21</v>
      </c>
      <c r="I58" s="127">
        <f>I56-I57</f>
        <v>4230040.5400000019</v>
      </c>
      <c r="J58" s="131"/>
    </row>
    <row r="59" spans="1:10" ht="15.75">
      <c r="A59" s="177" t="s">
        <v>26</v>
      </c>
      <c r="B59" s="177"/>
      <c r="C59" s="177"/>
      <c r="D59" s="177"/>
      <c r="H59" s="130"/>
      <c r="I59" s="127"/>
      <c r="J59" s="131"/>
    </row>
    <row r="60" spans="1:10">
      <c r="B60" s="90" t="s">
        <v>71</v>
      </c>
      <c r="C60" s="58"/>
      <c r="E60" s="194">
        <f>69274079+972854</f>
        <v>70246933</v>
      </c>
      <c r="F60" s="156" t="s">
        <v>368</v>
      </c>
      <c r="H60" s="130"/>
      <c r="I60" s="127"/>
      <c r="J60" s="131"/>
    </row>
    <row r="61" spans="1:10">
      <c r="B61" s="90" t="s">
        <v>72</v>
      </c>
      <c r="C61" s="58"/>
      <c r="E61" s="245">
        <v>0</v>
      </c>
      <c r="F61" s="156" t="s">
        <v>369</v>
      </c>
      <c r="H61" s="130"/>
      <c r="I61" s="127"/>
      <c r="J61" s="131"/>
    </row>
    <row r="62" spans="1:10">
      <c r="A62" s="58"/>
      <c r="B62" s="58"/>
      <c r="C62" s="52" t="s">
        <v>29</v>
      </c>
      <c r="E62" s="78">
        <f>SUM(E60:E61)</f>
        <v>70246933</v>
      </c>
      <c r="F62" s="156"/>
      <c r="H62" s="130" t="s">
        <v>159</v>
      </c>
      <c r="I62" s="127">
        <f>E62</f>
        <v>70246933</v>
      </c>
      <c r="J62" s="131"/>
    </row>
    <row r="63" spans="1:10">
      <c r="A63" s="58"/>
      <c r="B63" s="58"/>
      <c r="C63" s="58"/>
      <c r="E63" s="79"/>
      <c r="H63" s="132" t="s">
        <v>160</v>
      </c>
      <c r="I63" s="128">
        <f>'2023 Schedule 06'!C42</f>
        <v>70246933</v>
      </c>
      <c r="J63" s="131"/>
    </row>
    <row r="64" spans="1:10">
      <c r="A64" s="58"/>
      <c r="D64" s="54" t="s">
        <v>21</v>
      </c>
      <c r="E64" s="60">
        <f>E62-E57</f>
        <v>-24736487.249999985</v>
      </c>
      <c r="F64" s="120">
        <f>IF(E57=0, 0, E64/E57)</f>
        <v>-0.26042952743639475</v>
      </c>
      <c r="H64" s="135" t="s">
        <v>21</v>
      </c>
      <c r="I64" s="127">
        <f>I62-I63</f>
        <v>0</v>
      </c>
      <c r="J64" s="131"/>
    </row>
    <row r="65" spans="1:10">
      <c r="H65" s="130"/>
      <c r="I65" s="127"/>
      <c r="J65" s="131"/>
    </row>
    <row r="66" spans="1:10">
      <c r="B66" s="52" t="s">
        <v>63</v>
      </c>
      <c r="C66" s="52"/>
      <c r="D66" s="52"/>
      <c r="H66" s="130"/>
      <c r="I66" s="127"/>
      <c r="J66" s="131"/>
    </row>
    <row r="67" spans="1:10" ht="40.5" customHeight="1">
      <c r="C67" s="61" t="s">
        <v>205</v>
      </c>
      <c r="D67" s="62"/>
      <c r="E67" s="63"/>
      <c r="F67" s="257" t="s">
        <v>356</v>
      </c>
      <c r="H67" s="130"/>
      <c r="I67" s="127"/>
      <c r="J67" s="131"/>
    </row>
    <row r="68" spans="1:10" ht="37.5" customHeight="1">
      <c r="C68" s="61" t="s">
        <v>205</v>
      </c>
      <c r="D68" s="62"/>
      <c r="E68" s="63">
        <f>'2023 Bank Effect Transfers'!O31</f>
        <v>0</v>
      </c>
      <c r="F68" s="257" t="s">
        <v>358</v>
      </c>
      <c r="H68" s="130"/>
      <c r="I68" s="127"/>
      <c r="J68" s="131"/>
    </row>
    <row r="69" spans="1:10" hidden="1">
      <c r="C69" s="64"/>
      <c r="D69" s="62"/>
      <c r="E69" s="63"/>
      <c r="H69" s="130" t="s">
        <v>163</v>
      </c>
      <c r="I69" s="129">
        <f>E64</f>
        <v>-24736487.249999985</v>
      </c>
      <c r="J69" s="131"/>
    </row>
    <row r="70" spans="1:10">
      <c r="D70" s="52" t="s">
        <v>355</v>
      </c>
      <c r="E70" s="65">
        <f>SUM(E67:E69)</f>
        <v>0</v>
      </c>
      <c r="H70" s="130" t="s">
        <v>164</v>
      </c>
      <c r="I70" s="128">
        <f>'2023 Schedule 06'!C43</f>
        <v>20506446.709999993</v>
      </c>
      <c r="J70" s="131"/>
    </row>
    <row r="71" spans="1:10">
      <c r="H71" s="130"/>
      <c r="I71" s="127">
        <f>I69-I70</f>
        <v>-45242933.959999979</v>
      </c>
      <c r="J71" s="131"/>
    </row>
    <row r="72" spans="1:10" ht="13.5" thickBot="1">
      <c r="D72" s="54" t="s">
        <v>61</v>
      </c>
      <c r="E72" s="66">
        <f>E64+E70</f>
        <v>-24736487.249999985</v>
      </c>
      <c r="F72" s="120">
        <f>IF(E57=0, 0, E72/E57)</f>
        <v>-0.26042952743639475</v>
      </c>
      <c r="H72" s="130"/>
      <c r="I72" s="127"/>
      <c r="J72" s="131"/>
    </row>
    <row r="73" spans="1:10" ht="13.5" thickTop="1">
      <c r="H73" s="130"/>
      <c r="I73" s="127"/>
      <c r="J73" s="131"/>
    </row>
    <row r="74" spans="1:10">
      <c r="H74" s="130"/>
      <c r="I74" s="127"/>
      <c r="J74" s="131"/>
    </row>
    <row r="75" spans="1:10" ht="20.25">
      <c r="A75" s="172" t="s">
        <v>28</v>
      </c>
      <c r="B75" s="173"/>
      <c r="C75" s="173"/>
      <c r="D75" s="173"/>
      <c r="E75" s="173"/>
      <c r="F75" s="174" t="s">
        <v>354</v>
      </c>
      <c r="H75" s="297" t="s">
        <v>175</v>
      </c>
      <c r="I75" s="298"/>
      <c r="J75" s="299"/>
    </row>
    <row r="76" spans="1:10" ht="13.5" thickBot="1">
      <c r="A76" s="58"/>
      <c r="H76" s="130"/>
      <c r="I76" s="127"/>
      <c r="J76" s="131"/>
    </row>
    <row r="77" spans="1:10" ht="13.5" thickBot="1">
      <c r="A77" s="55" t="s">
        <v>166</v>
      </c>
      <c r="B77" s="58"/>
      <c r="C77" s="58"/>
      <c r="E77" s="104">
        <f>'2023 Bank Statements'!B6</f>
        <v>114004600.62</v>
      </c>
      <c r="F77" s="119" t="s">
        <v>221</v>
      </c>
      <c r="H77" s="130"/>
      <c r="I77" s="127"/>
      <c r="J77" s="131"/>
    </row>
    <row r="78" spans="1:10">
      <c r="H78" s="135"/>
      <c r="I78" s="127"/>
      <c r="J78" s="131"/>
    </row>
    <row r="79" spans="1:10">
      <c r="A79" s="80" t="s">
        <v>97</v>
      </c>
      <c r="B79" s="81"/>
      <c r="C79" s="81"/>
      <c r="D79" s="81"/>
      <c r="H79" s="130"/>
      <c r="I79" s="127"/>
      <c r="J79" s="131"/>
    </row>
    <row r="80" spans="1:10">
      <c r="B80" s="93" t="s">
        <v>94</v>
      </c>
      <c r="E80" s="97"/>
      <c r="H80" s="130"/>
      <c r="I80" s="127"/>
      <c r="J80" s="131"/>
    </row>
    <row r="81" spans="1:10" ht="25.5">
      <c r="C81" s="55" t="s">
        <v>79</v>
      </c>
      <c r="E81" s="109">
        <f>-'2023 Bank Statements'!B5</f>
        <v>-55626282.399999999</v>
      </c>
      <c r="F81" s="119" t="s">
        <v>221</v>
      </c>
      <c r="G81" s="93"/>
      <c r="H81" s="144" t="s">
        <v>168</v>
      </c>
      <c r="I81" s="127">
        <f>E81</f>
        <v>-55626282.399999999</v>
      </c>
      <c r="J81" s="131"/>
    </row>
    <row r="82" spans="1:10">
      <c r="C82" s="186" t="s">
        <v>235</v>
      </c>
      <c r="E82" s="194"/>
      <c r="F82" s="119" t="s">
        <v>370</v>
      </c>
      <c r="H82" s="130" t="s">
        <v>169</v>
      </c>
      <c r="I82" s="128">
        <f>'2023 Schedule 06'!F25</f>
        <v>55626282.399999999</v>
      </c>
      <c r="J82" s="131"/>
    </row>
    <row r="83" spans="1:10">
      <c r="C83" s="55" t="s">
        <v>77</v>
      </c>
      <c r="E83" s="194"/>
      <c r="F83" s="242" t="s">
        <v>222</v>
      </c>
      <c r="H83" s="135" t="s">
        <v>21</v>
      </c>
      <c r="I83" s="127">
        <f>I81-I82</f>
        <v>-111252564.8</v>
      </c>
      <c r="J83" s="131"/>
    </row>
    <row r="84" spans="1:10">
      <c r="C84" s="84" t="s">
        <v>237</v>
      </c>
      <c r="D84" s="81"/>
      <c r="E84" s="246"/>
      <c r="F84" s="119" t="s">
        <v>371</v>
      </c>
      <c r="G84" s="111"/>
      <c r="H84" s="130"/>
      <c r="I84" s="127"/>
      <c r="J84" s="131"/>
    </row>
    <row r="85" spans="1:10" ht="13.5">
      <c r="A85" s="70"/>
      <c r="C85" s="71" t="s">
        <v>78</v>
      </c>
      <c r="E85" s="194"/>
      <c r="F85" s="247" t="s">
        <v>222</v>
      </c>
      <c r="H85" s="130"/>
      <c r="I85" s="127"/>
      <c r="J85" s="131"/>
    </row>
    <row r="86" spans="1:10">
      <c r="B86" s="73"/>
      <c r="C86" s="74"/>
      <c r="D86" s="75"/>
      <c r="E86" s="59"/>
      <c r="H86" s="130"/>
      <c r="I86" s="127"/>
      <c r="J86" s="131"/>
    </row>
    <row r="87" spans="1:10">
      <c r="D87" s="52" t="s">
        <v>93</v>
      </c>
      <c r="E87" s="65">
        <f>SUM(E81:E86)</f>
        <v>-55626282.399999999</v>
      </c>
      <c r="H87" s="130"/>
      <c r="I87" s="127"/>
      <c r="J87" s="131"/>
    </row>
    <row r="88" spans="1:10">
      <c r="H88" s="135"/>
      <c r="I88" s="127"/>
      <c r="J88" s="131"/>
    </row>
    <row r="89" spans="1:10">
      <c r="A89" s="52" t="s">
        <v>68</v>
      </c>
      <c r="H89" s="130"/>
      <c r="I89" s="127"/>
      <c r="J89" s="131"/>
    </row>
    <row r="90" spans="1:10">
      <c r="A90" s="52"/>
      <c r="B90" s="93" t="s">
        <v>87</v>
      </c>
      <c r="E90" s="100"/>
      <c r="F90" s="122"/>
      <c r="G90" s="93"/>
      <c r="H90" s="130"/>
      <c r="I90" s="127"/>
      <c r="J90" s="131"/>
    </row>
    <row r="91" spans="1:10" ht="13.5">
      <c r="A91" s="72"/>
      <c r="C91" s="55" t="s">
        <v>259</v>
      </c>
      <c r="D91" s="81"/>
      <c r="E91" s="249">
        <f>E35</f>
        <v>0</v>
      </c>
      <c r="F91" s="248" t="s">
        <v>239</v>
      </c>
      <c r="H91" s="130"/>
      <c r="I91" s="127"/>
      <c r="J91" s="131"/>
    </row>
    <row r="92" spans="1:10" ht="13.5">
      <c r="A92" s="70"/>
      <c r="C92" s="55" t="s">
        <v>83</v>
      </c>
      <c r="D92" s="81"/>
      <c r="E92" s="194"/>
      <c r="F92" s="248" t="s">
        <v>241</v>
      </c>
      <c r="H92" s="130"/>
      <c r="I92" s="127"/>
      <c r="J92" s="131"/>
    </row>
    <row r="93" spans="1:10" ht="13.5">
      <c r="A93" s="70"/>
      <c r="C93" s="55" t="s">
        <v>84</v>
      </c>
      <c r="D93" s="81"/>
      <c r="E93" s="194"/>
      <c r="F93" s="248" t="s">
        <v>251</v>
      </c>
      <c r="H93" s="130"/>
      <c r="I93" s="127"/>
      <c r="J93" s="131"/>
    </row>
    <row r="94" spans="1:10">
      <c r="C94" s="76"/>
      <c r="D94" s="80" t="s">
        <v>95</v>
      </c>
      <c r="E94" s="77">
        <f>SUM(E91:E93)</f>
        <v>0</v>
      </c>
      <c r="F94" s="156"/>
      <c r="H94" s="130"/>
      <c r="I94" s="127"/>
      <c r="J94" s="131"/>
    </row>
    <row r="95" spans="1:10">
      <c r="D95" s="52"/>
      <c r="E95" s="96"/>
      <c r="G95" s="93"/>
      <c r="H95" s="135"/>
      <c r="I95" s="127"/>
      <c r="J95" s="131"/>
    </row>
    <row r="96" spans="1:10">
      <c r="A96" s="52" t="s">
        <v>81</v>
      </c>
      <c r="D96" s="52"/>
      <c r="E96" s="96"/>
      <c r="G96" s="93"/>
      <c r="H96" s="130"/>
      <c r="I96" s="127"/>
      <c r="J96" s="131"/>
    </row>
    <row r="97" spans="1:10">
      <c r="A97" s="68"/>
      <c r="B97" s="93" t="s">
        <v>92</v>
      </c>
      <c r="E97" s="100"/>
      <c r="H97" s="130"/>
      <c r="I97" s="127"/>
      <c r="J97" s="131"/>
    </row>
    <row r="98" spans="1:10">
      <c r="A98" s="68"/>
      <c r="B98" s="93"/>
      <c r="C98" s="71" t="s">
        <v>258</v>
      </c>
      <c r="D98" s="81"/>
      <c r="E98" s="67">
        <f>-'2023 Bank Statements'!Q3</f>
        <v>1651660.52</v>
      </c>
      <c r="F98" s="156" t="s">
        <v>242</v>
      </c>
      <c r="G98" s="93"/>
      <c r="H98" s="130"/>
      <c r="I98" s="127"/>
      <c r="J98" s="131"/>
    </row>
    <row r="99" spans="1:10">
      <c r="A99" s="68"/>
      <c r="B99" s="93"/>
      <c r="C99" s="159" t="s">
        <v>257</v>
      </c>
      <c r="D99" s="160"/>
      <c r="E99" s="109"/>
      <c r="F99" s="161" t="s">
        <v>372</v>
      </c>
      <c r="G99" s="93"/>
      <c r="H99" s="130"/>
      <c r="I99" s="127"/>
      <c r="J99" s="131"/>
    </row>
    <row r="100" spans="1:10">
      <c r="A100" s="68"/>
      <c r="B100" s="165"/>
      <c r="C100" s="159" t="s">
        <v>243</v>
      </c>
      <c r="D100" s="160"/>
      <c r="E100" s="109"/>
      <c r="F100" s="161" t="s">
        <v>373</v>
      </c>
      <c r="G100" s="165"/>
      <c r="H100" s="130"/>
      <c r="I100" s="127"/>
      <c r="J100" s="131"/>
    </row>
    <row r="101" spans="1:10">
      <c r="A101" s="68"/>
      <c r="B101" s="93"/>
      <c r="C101" s="84" t="s">
        <v>82</v>
      </c>
      <c r="D101" s="81"/>
      <c r="E101" s="194"/>
      <c r="F101" s="259" t="s">
        <v>241</v>
      </c>
      <c r="G101" s="93"/>
      <c r="H101" s="130"/>
      <c r="I101" s="127"/>
      <c r="J101" s="131"/>
    </row>
    <row r="102" spans="1:10">
      <c r="A102" s="68"/>
      <c r="E102" s="67">
        <f>SUM(E98:E101)</f>
        <v>1651660.52</v>
      </c>
      <c r="H102" s="135"/>
      <c r="I102" s="127"/>
      <c r="J102" s="131"/>
    </row>
    <row r="103" spans="1:10" ht="13.5">
      <c r="A103" s="72"/>
      <c r="B103" s="93" t="s">
        <v>213</v>
      </c>
      <c r="D103" s="81"/>
      <c r="H103" s="130"/>
      <c r="I103" s="127"/>
      <c r="J103" s="131"/>
    </row>
    <row r="104" spans="1:10" ht="15">
      <c r="A104" s="72"/>
      <c r="C104" s="71" t="s">
        <v>256</v>
      </c>
      <c r="D104" s="81"/>
      <c r="E104" s="262"/>
      <c r="F104" s="156" t="s">
        <v>374</v>
      </c>
      <c r="H104" s="130"/>
      <c r="I104" s="127"/>
      <c r="J104" s="131"/>
    </row>
    <row r="105" spans="1:10" ht="13.5">
      <c r="A105" s="72"/>
      <c r="C105" s="84" t="s">
        <v>244</v>
      </c>
      <c r="D105" s="81"/>
      <c r="E105" s="67"/>
      <c r="F105" s="156" t="s">
        <v>375</v>
      </c>
      <c r="G105" s="93"/>
      <c r="H105" s="130"/>
      <c r="I105" s="127"/>
      <c r="J105" s="131"/>
    </row>
    <row r="106" spans="1:10">
      <c r="C106" s="165" t="s">
        <v>214</v>
      </c>
      <c r="E106" s="67"/>
      <c r="F106" s="156"/>
      <c r="H106" s="130"/>
      <c r="I106" s="127"/>
      <c r="J106" s="131"/>
    </row>
    <row r="107" spans="1:10">
      <c r="E107" s="101">
        <f>SUM(E104:E106)</f>
        <v>0</v>
      </c>
      <c r="G107" s="108"/>
      <c r="H107" s="130"/>
      <c r="I107" s="127"/>
      <c r="J107" s="131"/>
    </row>
    <row r="108" spans="1:10" ht="13.5" thickBot="1">
      <c r="E108" s="102"/>
      <c r="G108" s="99"/>
      <c r="H108" s="130"/>
      <c r="I108" s="127"/>
      <c r="J108" s="131"/>
    </row>
    <row r="109" spans="1:10" ht="13.5" thickBot="1">
      <c r="C109" s="52" t="s">
        <v>25</v>
      </c>
      <c r="E109" s="106">
        <f>E87+E94+E102+E107</f>
        <v>-53974621.879999995</v>
      </c>
      <c r="G109" s="99"/>
      <c r="H109" s="130" t="s">
        <v>157</v>
      </c>
      <c r="I109" s="127">
        <f>E109-E81</f>
        <v>1651660.5200000033</v>
      </c>
      <c r="J109" s="131" t="s">
        <v>162</v>
      </c>
    </row>
    <row r="110" spans="1:10" ht="13.5" thickBot="1">
      <c r="D110" s="52" t="s">
        <v>66</v>
      </c>
      <c r="E110" s="103">
        <f>E77+E109</f>
        <v>60029978.74000001</v>
      </c>
      <c r="G110" s="99"/>
      <c r="H110" s="132" t="s">
        <v>158</v>
      </c>
      <c r="I110" s="128">
        <f>'2023 Schedule 06'!E38</f>
        <v>919982.1100000001</v>
      </c>
      <c r="J110" s="131"/>
    </row>
    <row r="111" spans="1:10">
      <c r="G111" s="99"/>
      <c r="H111" s="135" t="s">
        <v>21</v>
      </c>
      <c r="I111" s="127">
        <f>I109-I110</f>
        <v>731678.41000000318</v>
      </c>
      <c r="J111" s="131"/>
    </row>
    <row r="112" spans="1:10">
      <c r="A112" s="58" t="s">
        <v>26</v>
      </c>
      <c r="H112" s="130"/>
      <c r="I112" s="127"/>
      <c r="J112" s="131"/>
    </row>
    <row r="113" spans="1:10">
      <c r="B113" s="90" t="s">
        <v>245</v>
      </c>
      <c r="C113" s="58"/>
      <c r="E113" s="194">
        <f>49480168+18403802</f>
        <v>67883970</v>
      </c>
      <c r="F113" s="156" t="s">
        <v>376</v>
      </c>
      <c r="H113" s="130"/>
      <c r="I113" s="127"/>
      <c r="J113" s="131"/>
    </row>
    <row r="114" spans="1:10">
      <c r="B114" s="90" t="s">
        <v>246</v>
      </c>
      <c r="C114" s="58"/>
      <c r="E114" s="67">
        <v>364058</v>
      </c>
      <c r="F114" s="156" t="s">
        <v>377</v>
      </c>
      <c r="H114" s="130"/>
      <c r="I114" s="127"/>
      <c r="J114" s="131"/>
    </row>
    <row r="115" spans="1:10">
      <c r="A115" s="58"/>
      <c r="B115" s="58"/>
      <c r="C115" s="52" t="s">
        <v>30</v>
      </c>
      <c r="E115" s="78">
        <f>SUM(E113:E114)</f>
        <v>68248028</v>
      </c>
      <c r="H115" s="130" t="s">
        <v>170</v>
      </c>
      <c r="I115" s="127">
        <f>E115</f>
        <v>68248028</v>
      </c>
      <c r="J115" s="131"/>
    </row>
    <row r="116" spans="1:10">
      <c r="A116" s="58"/>
      <c r="B116" s="58"/>
      <c r="C116" s="58"/>
      <c r="E116" s="79"/>
      <c r="H116" s="132" t="s">
        <v>171</v>
      </c>
      <c r="I116" s="128">
        <f>'2023 Schedule 06'!E42</f>
        <v>68248028</v>
      </c>
      <c r="J116" s="131"/>
    </row>
    <row r="117" spans="1:10">
      <c r="A117" s="58"/>
      <c r="D117" s="54" t="s">
        <v>21</v>
      </c>
      <c r="E117" s="60">
        <f>E115-E110</f>
        <v>8218049.2599999905</v>
      </c>
      <c r="F117" s="120">
        <f>IF(E117=0, 0, E117/E110)</f>
        <v>0.13689908663126055</v>
      </c>
      <c r="H117" s="135" t="s">
        <v>21</v>
      </c>
      <c r="I117" s="127">
        <f>I115-I116</f>
        <v>0</v>
      </c>
      <c r="J117" s="131"/>
    </row>
    <row r="118" spans="1:10">
      <c r="H118" s="130"/>
      <c r="I118" s="127"/>
      <c r="J118" s="131"/>
    </row>
    <row r="119" spans="1:10">
      <c r="B119" s="52" t="s">
        <v>63</v>
      </c>
      <c r="C119" s="52"/>
      <c r="D119" s="52"/>
      <c r="H119" s="130"/>
      <c r="I119" s="127"/>
      <c r="J119" s="131"/>
    </row>
    <row r="120" spans="1:10" ht="34.5" customHeight="1">
      <c r="C120" s="61" t="s">
        <v>205</v>
      </c>
      <c r="D120" s="62"/>
      <c r="E120" s="63"/>
      <c r="F120" s="257" t="s">
        <v>356</v>
      </c>
      <c r="H120" s="130"/>
      <c r="I120" s="127"/>
      <c r="J120" s="131"/>
    </row>
    <row r="121" spans="1:10" ht="45" customHeight="1">
      <c r="C121" s="61" t="s">
        <v>205</v>
      </c>
      <c r="D121" s="62"/>
      <c r="E121" s="63">
        <f>'2023 Bank Effect Transfers'!O32</f>
        <v>0</v>
      </c>
      <c r="F121" s="257" t="s">
        <v>357</v>
      </c>
      <c r="H121" s="130"/>
      <c r="I121" s="127"/>
      <c r="J121" s="131"/>
    </row>
    <row r="122" spans="1:10">
      <c r="C122" s="64"/>
      <c r="D122" s="62"/>
      <c r="E122" s="63"/>
      <c r="H122" s="130" t="s">
        <v>163</v>
      </c>
      <c r="I122" s="129">
        <f>E117</f>
        <v>8218049.2599999905</v>
      </c>
      <c r="J122" s="131"/>
    </row>
    <row r="123" spans="1:10">
      <c r="D123" s="52" t="s">
        <v>64</v>
      </c>
      <c r="E123" s="65">
        <f>SUM(E120:E122)</f>
        <v>0</v>
      </c>
      <c r="H123" s="130" t="s">
        <v>164</v>
      </c>
      <c r="I123" s="128">
        <f>'2023 Schedule 06'!E43</f>
        <v>-8949727.6699999943</v>
      </c>
      <c r="J123" s="131"/>
    </row>
    <row r="124" spans="1:10">
      <c r="H124" s="130"/>
      <c r="I124" s="127">
        <f>I122-I123</f>
        <v>17167776.929999985</v>
      </c>
      <c r="J124" s="131"/>
    </row>
    <row r="125" spans="1:10" ht="13.5" thickBot="1">
      <c r="D125" s="54" t="s">
        <v>61</v>
      </c>
      <c r="E125" s="66">
        <f>E117+E123</f>
        <v>8218049.2599999905</v>
      </c>
      <c r="F125" s="120">
        <f>IF(E125=0, 0, E125/E110)</f>
        <v>0.13689908663126055</v>
      </c>
      <c r="H125" s="130"/>
      <c r="I125" s="127"/>
      <c r="J125" s="131"/>
    </row>
    <row r="126" spans="1:10" ht="13.5" thickTop="1">
      <c r="A126" s="58"/>
      <c r="B126" s="58"/>
      <c r="C126" s="58"/>
      <c r="H126" s="130"/>
      <c r="I126" s="127"/>
      <c r="J126" s="131"/>
    </row>
    <row r="127" spans="1:10" ht="18.75">
      <c r="A127" s="240" t="s">
        <v>85</v>
      </c>
      <c r="B127" s="241"/>
      <c r="C127" s="241"/>
      <c r="D127" s="241"/>
      <c r="E127" s="241"/>
      <c r="F127" s="250"/>
      <c r="H127" s="297" t="s">
        <v>175</v>
      </c>
      <c r="I127" s="298"/>
      <c r="J127" s="299"/>
    </row>
    <row r="128" spans="1:10">
      <c r="H128" s="130"/>
      <c r="I128" s="127"/>
      <c r="J128" s="131"/>
    </row>
    <row r="129" spans="1:10">
      <c r="A129" s="58" t="s">
        <v>15</v>
      </c>
      <c r="B129" s="58"/>
      <c r="C129" s="58"/>
      <c r="E129" s="44">
        <f>'2023 Bank Statements'!B8</f>
        <v>68088023.960000008</v>
      </c>
      <c r="F129" s="119" t="s">
        <v>69</v>
      </c>
      <c r="H129" s="130"/>
      <c r="I129" s="127"/>
      <c r="J129" s="131"/>
    </row>
    <row r="130" spans="1:10">
      <c r="E130" s="82"/>
      <c r="H130" s="135"/>
      <c r="I130" s="127"/>
      <c r="J130" s="131"/>
    </row>
    <row r="131" spans="1:10">
      <c r="A131" s="52" t="s">
        <v>90</v>
      </c>
      <c r="B131" s="58"/>
      <c r="C131" s="58"/>
      <c r="E131" s="82"/>
      <c r="H131" s="130"/>
      <c r="I131" s="127"/>
      <c r="J131" s="131"/>
    </row>
    <row r="132" spans="1:10">
      <c r="B132" s="58" t="s">
        <v>22</v>
      </c>
      <c r="C132" s="58"/>
      <c r="E132" s="67">
        <f>'2023 Bank Statements'!Q2</f>
        <v>147022.88</v>
      </c>
      <c r="F132" s="119" t="s">
        <v>69</v>
      </c>
      <c r="H132" s="130"/>
      <c r="I132" s="127"/>
      <c r="J132" s="131"/>
    </row>
    <row r="133" spans="1:10">
      <c r="B133" s="93" t="s">
        <v>47</v>
      </c>
      <c r="C133" s="94"/>
      <c r="E133" s="67">
        <f>'2023 Bank Statements'!Q4</f>
        <v>60</v>
      </c>
      <c r="F133" s="119" t="s">
        <v>69</v>
      </c>
      <c r="G133" s="93"/>
      <c r="H133" s="130"/>
      <c r="I133" s="127"/>
      <c r="J133" s="131"/>
    </row>
    <row r="134" spans="1:10">
      <c r="B134" s="93" t="s">
        <v>23</v>
      </c>
      <c r="C134" s="58"/>
      <c r="E134" s="67">
        <f>'2023 Bank Statements'!Q3</f>
        <v>-1651660.52</v>
      </c>
      <c r="F134" s="119" t="s">
        <v>69</v>
      </c>
      <c r="H134" s="135"/>
      <c r="I134" s="127"/>
      <c r="J134" s="131"/>
    </row>
    <row r="135" spans="1:10">
      <c r="B135" s="93" t="s">
        <v>48</v>
      </c>
      <c r="C135" s="94"/>
      <c r="E135" s="109">
        <f>'2023 Bank Statements'!Q5</f>
        <v>-0.03</v>
      </c>
      <c r="F135" s="162" t="s">
        <v>69</v>
      </c>
      <c r="G135" s="93"/>
      <c r="H135" s="130"/>
      <c r="I135" s="126"/>
      <c r="J135" s="131"/>
    </row>
    <row r="136" spans="1:10" ht="25.5">
      <c r="B136" s="93" t="s">
        <v>249</v>
      </c>
      <c r="C136" s="94"/>
      <c r="E136" s="109"/>
      <c r="F136" s="162" t="s">
        <v>378</v>
      </c>
      <c r="G136" s="95"/>
      <c r="H136" s="130"/>
      <c r="I136" s="127"/>
      <c r="J136" s="131"/>
    </row>
    <row r="137" spans="1:10" ht="13.5">
      <c r="A137" s="70"/>
      <c r="B137" s="55" t="s">
        <v>219</v>
      </c>
      <c r="C137" s="55"/>
      <c r="D137" s="55"/>
      <c r="E137" s="67">
        <f>'2023 Revolving Funds'!D16</f>
        <v>15285</v>
      </c>
      <c r="F137" s="162" t="s">
        <v>247</v>
      </c>
      <c r="H137" s="135"/>
      <c r="I137" s="127"/>
      <c r="J137" s="131"/>
    </row>
    <row r="138" spans="1:10" ht="13.5">
      <c r="A138" s="70"/>
      <c r="B138" s="164" t="s">
        <v>207</v>
      </c>
      <c r="C138" s="251"/>
      <c r="D138" s="252"/>
      <c r="E138" s="253"/>
      <c r="F138" s="163" t="s">
        <v>379</v>
      </c>
      <c r="G138" s="93"/>
      <c r="H138" s="130"/>
      <c r="I138" s="127"/>
      <c r="J138" s="131"/>
    </row>
    <row r="139" spans="1:10" ht="13.5">
      <c r="A139" s="70"/>
      <c r="B139" s="84" t="s">
        <v>248</v>
      </c>
      <c r="C139" s="84"/>
      <c r="D139" s="81"/>
      <c r="E139" s="67"/>
      <c r="F139" s="162" t="s">
        <v>380</v>
      </c>
      <c r="G139" s="93"/>
      <c r="H139" s="130"/>
      <c r="I139" s="127"/>
      <c r="J139" s="131"/>
    </row>
    <row r="140" spans="1:10">
      <c r="C140" s="76" t="s">
        <v>25</v>
      </c>
      <c r="E140" s="77">
        <f>SUM(E132:E139)</f>
        <v>-1489292.6700000002</v>
      </c>
      <c r="H140" s="130"/>
      <c r="I140" s="127"/>
      <c r="J140" s="131"/>
    </row>
    <row r="141" spans="1:10">
      <c r="B141" s="69"/>
      <c r="C141" s="69"/>
      <c r="D141" s="52" t="s">
        <v>67</v>
      </c>
      <c r="E141" s="83">
        <f>E129+E140</f>
        <v>66598731.290000007</v>
      </c>
      <c r="H141" s="130"/>
      <c r="I141" s="127"/>
      <c r="J141" s="131"/>
    </row>
    <row r="142" spans="1:10">
      <c r="B142" s="69"/>
      <c r="C142" s="69"/>
      <c r="D142" s="52"/>
      <c r="E142" s="107"/>
      <c r="G142" s="99"/>
      <c r="H142" s="130"/>
      <c r="I142" s="127"/>
      <c r="J142" s="131"/>
    </row>
    <row r="143" spans="1:10">
      <c r="H143" s="130"/>
      <c r="I143" s="127"/>
      <c r="J143" s="131"/>
    </row>
    <row r="144" spans="1:10" ht="15.75">
      <c r="A144" s="177" t="s">
        <v>19</v>
      </c>
      <c r="B144" s="58"/>
      <c r="C144" s="58"/>
      <c r="E144" s="67">
        <f>61504088+1736741</f>
        <v>63240829</v>
      </c>
      <c r="F144" s="156" t="s">
        <v>250</v>
      </c>
      <c r="H144" s="130" t="s">
        <v>172</v>
      </c>
      <c r="I144" s="127">
        <f>E144</f>
        <v>63240829</v>
      </c>
      <c r="J144" s="131"/>
    </row>
    <row r="145" spans="1:10">
      <c r="A145" s="58"/>
      <c r="B145" s="58"/>
      <c r="C145" s="58"/>
      <c r="D145" s="54" t="s">
        <v>21</v>
      </c>
      <c r="E145" s="254">
        <f>E144-E141</f>
        <v>-3357902.2900000066</v>
      </c>
      <c r="F145" s="120">
        <f>IF(E145=0, 0, E145/E141)</f>
        <v>-5.0419913787519935E-2</v>
      </c>
      <c r="H145" s="142" t="s">
        <v>173</v>
      </c>
      <c r="I145" s="128">
        <f>'2023 Schedule 06'!G42</f>
        <v>68307070.819999993</v>
      </c>
      <c r="J145" s="131"/>
    </row>
    <row r="146" spans="1:10">
      <c r="H146" s="130"/>
      <c r="I146" s="127">
        <f>I144-I145</f>
        <v>-5066241.8199999928</v>
      </c>
      <c r="J146" s="131"/>
    </row>
    <row r="147" spans="1:10">
      <c r="B147" s="52" t="s">
        <v>86</v>
      </c>
      <c r="C147" s="52"/>
      <c r="D147" s="52"/>
      <c r="H147" s="130"/>
      <c r="I147" s="126"/>
      <c r="J147" s="131"/>
    </row>
    <row r="148" spans="1:10">
      <c r="C148" s="260"/>
      <c r="D148" s="256"/>
      <c r="E148" s="78"/>
      <c r="H148" s="130" t="s">
        <v>174</v>
      </c>
      <c r="I148" s="127">
        <f>E152</f>
        <v>-3357902.2900000066</v>
      </c>
      <c r="J148" s="131"/>
    </row>
    <row r="149" spans="1:10">
      <c r="C149" s="261"/>
      <c r="D149" s="256"/>
      <c r="E149" s="78"/>
      <c r="H149" s="130" t="s">
        <v>164</v>
      </c>
      <c r="I149" s="128">
        <f>'2023 Schedule 06'!G43</f>
        <v>-210728.06000001729</v>
      </c>
      <c r="J149" s="131"/>
    </row>
    <row r="150" spans="1:10">
      <c r="D150" s="52" t="s">
        <v>64</v>
      </c>
      <c r="E150" s="65">
        <f>SUM(E148:E149)</f>
        <v>0</v>
      </c>
      <c r="H150" s="130"/>
      <c r="I150" s="127">
        <f>I148-I149</f>
        <v>-3147174.2299999893</v>
      </c>
      <c r="J150" s="131"/>
    </row>
    <row r="151" spans="1:10">
      <c r="H151" s="130"/>
      <c r="I151" s="127"/>
      <c r="J151" s="131"/>
    </row>
    <row r="152" spans="1:10" ht="13.5" thickBot="1">
      <c r="D152" s="54" t="s">
        <v>61</v>
      </c>
      <c r="E152" s="255">
        <f>E145+E150</f>
        <v>-3357902.2900000066</v>
      </c>
      <c r="F152" s="120">
        <f>IF(E152=0, 0, E152/E141)</f>
        <v>-5.0419913787519935E-2</v>
      </c>
      <c r="H152" s="130"/>
      <c r="I152" s="127"/>
      <c r="J152" s="131"/>
    </row>
    <row r="153" spans="1:10" ht="13.5" thickTop="1">
      <c r="D153" s="54"/>
      <c r="E153" s="98"/>
      <c r="F153" s="120"/>
      <c r="G153" s="93"/>
      <c r="H153" s="139"/>
      <c r="I153" s="140"/>
      <c r="J153" s="141"/>
    </row>
    <row r="157" spans="1:10">
      <c r="F157" s="156"/>
    </row>
  </sheetData>
  <mergeCells count="9">
    <mergeCell ref="H127:J127"/>
    <mergeCell ref="H1:J4"/>
    <mergeCell ref="H20:J20"/>
    <mergeCell ref="H75:J75"/>
    <mergeCell ref="A2:F2"/>
    <mergeCell ref="A7:D7"/>
    <mergeCell ref="A9:D9"/>
    <mergeCell ref="A8:D8"/>
    <mergeCell ref="H5:J5"/>
  </mergeCells>
  <conditionalFormatting sqref="E17:E19 E152:E153">
    <cfRule type="expression" dxfId="12" priority="3">
      <formula>IF(ABS($E17)&gt;1000, TRUE, FALSE)</formula>
    </cfRule>
  </conditionalFormatting>
  <dataValidations count="4">
    <dataValidation type="decimal" operator="greaterThanOrEqual" allowBlank="1" showInputMessage="1" showErrorMessage="1" errorTitle="Input should be POSITIVE" error="The amount should be entered as a positive number." sqref="E113:E114 E7:E9 E144 E137:E139 E132:E133 E60:E61 E92:E93 E30 E34:E42">
      <formula1>0</formula1>
    </dataValidation>
    <dataValidation type="decimal" operator="lessThanOrEqual" allowBlank="1" showInputMessage="1" showErrorMessage="1" errorTitle="Input needs to be NEGATIVE" error="This amount should be entered as a negative number" sqref="E80:E81 E134:E136 E102 E105:E106 E51:E54 E25:E29">
      <formula1>0</formula1>
    </dataValidation>
    <dataValidation type="decimal" operator="lessThanOrEqual" allowBlank="1" showInputMessage="1" showErrorMessage="1" errorTitle="Input needs to be NEGATIVE" error="The amount should be entered as a negative number" sqref="E82:E83 E85:E86">
      <formula1>0</formula1>
    </dataValidation>
    <dataValidation type="decimal" operator="greaterThanOrEqual" allowBlank="1" showInputMessage="1" showErrorMessage="1" errorTitle="Input needs to be POSITIVE" error="The amount should be entered as a positive number" sqref="E98:E101">
      <formula1>0</formula1>
    </dataValidation>
  </dataValidations>
  <pageMargins left="0.25" right="0.25" top="0.5" bottom="0.5" header="0.3" footer="0.3"/>
  <pageSetup scale="62" fitToHeight="10" orientation="portrait" r:id="rId1"/>
  <rowBreaks count="1" manualBreakCount="1">
    <brk id="74" max="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J45"/>
  <sheetViews>
    <sheetView showGridLines="0" tabSelected="1" zoomScale="90" zoomScaleNormal="90" zoomScaleSheetLayoutView="85" workbookViewId="0">
      <selection activeCell="L36" sqref="L36"/>
    </sheetView>
  </sheetViews>
  <sheetFormatPr defaultColWidth="9.140625" defaultRowHeight="15"/>
  <cols>
    <col min="1" max="1" width="32.7109375" style="195" customWidth="1"/>
    <col min="2" max="7" width="16.85546875" style="195" customWidth="1"/>
    <col min="8" max="8" width="6.42578125" style="195" customWidth="1"/>
    <col min="9" max="9" width="15.42578125" style="195" customWidth="1"/>
    <col min="10" max="16384" width="9.140625" style="195"/>
  </cols>
  <sheetData>
    <row r="1" spans="1:10">
      <c r="A1" s="237" t="s">
        <v>51</v>
      </c>
      <c r="B1" s="239" t="s">
        <v>161</v>
      </c>
      <c r="D1" s="238"/>
      <c r="G1" s="228"/>
      <c r="H1" s="196"/>
      <c r="I1" s="196"/>
    </row>
    <row r="2" spans="1:10">
      <c r="A2" s="237" t="s">
        <v>53</v>
      </c>
      <c r="B2" s="85" t="s">
        <v>146</v>
      </c>
      <c r="D2" s="236"/>
      <c r="G2" s="228"/>
      <c r="H2" s="196"/>
      <c r="I2" s="196"/>
    </row>
    <row r="3" spans="1:10">
      <c r="A3" s="237"/>
      <c r="B3" s="85"/>
      <c r="D3" s="236"/>
      <c r="G3" s="228"/>
      <c r="H3" s="196"/>
      <c r="I3" s="196"/>
    </row>
    <row r="4" spans="1:10" ht="45">
      <c r="A4" s="317" t="s">
        <v>76</v>
      </c>
      <c r="B4" s="318"/>
      <c r="C4" s="319"/>
      <c r="D4" s="235" t="s">
        <v>142</v>
      </c>
      <c r="E4" s="235" t="s">
        <v>145</v>
      </c>
      <c r="F4" s="234" t="s">
        <v>21</v>
      </c>
      <c r="G4" s="233" t="s">
        <v>144</v>
      </c>
      <c r="J4" s="232"/>
    </row>
    <row r="5" spans="1:10">
      <c r="A5" s="320" t="s">
        <v>139</v>
      </c>
      <c r="B5" s="320"/>
      <c r="C5" s="320"/>
      <c r="D5" s="143">
        <f>'2023 Summary'!E7</f>
        <v>60305455</v>
      </c>
      <c r="E5" s="113">
        <f>B42</f>
        <v>65584068.939999998</v>
      </c>
      <c r="F5" s="230">
        <f>E5-D5</f>
        <v>5278613.9399999976</v>
      </c>
      <c r="G5" s="229">
        <f>B43</f>
        <v>597836.85000000149</v>
      </c>
    </row>
    <row r="6" spans="1:10">
      <c r="A6" s="320" t="s">
        <v>140</v>
      </c>
      <c r="B6" s="320"/>
      <c r="C6" s="320"/>
      <c r="D6" s="143">
        <f>'2023 Summary'!E62</f>
        <v>70246933</v>
      </c>
      <c r="E6" s="231">
        <f>C42</f>
        <v>70246933</v>
      </c>
      <c r="F6" s="230">
        <f>E6-D6</f>
        <v>0</v>
      </c>
      <c r="G6" s="229">
        <f>C43</f>
        <v>20506446.709999993</v>
      </c>
    </row>
    <row r="7" spans="1:10">
      <c r="A7" s="320" t="s">
        <v>141</v>
      </c>
      <c r="B7" s="320"/>
      <c r="C7" s="320"/>
      <c r="D7" s="143">
        <f>'2023 Summary'!E115</f>
        <v>68248028</v>
      </c>
      <c r="E7" s="231">
        <f>E42</f>
        <v>68248028</v>
      </c>
      <c r="F7" s="230">
        <f>E7-D7</f>
        <v>0</v>
      </c>
      <c r="G7" s="229">
        <f>E43</f>
        <v>-8949727.6699999943</v>
      </c>
    </row>
    <row r="8" spans="1:10">
      <c r="A8" s="320" t="s">
        <v>143</v>
      </c>
      <c r="B8" s="320"/>
      <c r="C8" s="320"/>
      <c r="D8" s="143">
        <f>'2023 Summary'!E144</f>
        <v>63240829</v>
      </c>
      <c r="E8" s="231">
        <f>G42</f>
        <v>68307070.819999993</v>
      </c>
      <c r="F8" s="230">
        <f>E8-D8</f>
        <v>5066241.8199999928</v>
      </c>
      <c r="G8" s="229">
        <f>G43</f>
        <v>-210728.06000001729</v>
      </c>
    </row>
    <row r="9" spans="1:10">
      <c r="F9" s="228"/>
      <c r="H9" s="196"/>
      <c r="I9" s="196"/>
    </row>
    <row r="10" spans="1:10">
      <c r="A10" s="228"/>
      <c r="B10" s="310" t="s">
        <v>133</v>
      </c>
      <c r="C10" s="310"/>
      <c r="D10" s="310"/>
      <c r="E10" s="310"/>
      <c r="F10" s="310"/>
      <c r="G10" s="310"/>
      <c r="H10" s="196"/>
      <c r="I10" s="196"/>
    </row>
    <row r="11" spans="1:10">
      <c r="A11" s="227"/>
      <c r="B11" s="311" t="s">
        <v>73</v>
      </c>
      <c r="C11" s="311"/>
      <c r="D11" s="311"/>
      <c r="E11" s="311"/>
      <c r="F11" s="311"/>
      <c r="G11" s="311"/>
      <c r="H11" s="207"/>
      <c r="I11" s="196"/>
    </row>
    <row r="12" spans="1:10">
      <c r="A12" s="313" t="s">
        <v>98</v>
      </c>
      <c r="B12" s="315" t="s">
        <v>99</v>
      </c>
      <c r="C12" s="316" t="s">
        <v>100</v>
      </c>
      <c r="D12" s="316"/>
      <c r="E12" s="316" t="s">
        <v>101</v>
      </c>
      <c r="F12" s="316"/>
      <c r="G12" s="315" t="s">
        <v>102</v>
      </c>
      <c r="H12" s="207"/>
      <c r="I12" s="196"/>
    </row>
    <row r="13" spans="1:10" ht="45">
      <c r="A13" s="314"/>
      <c r="B13" s="315"/>
      <c r="C13" s="226" t="s">
        <v>103</v>
      </c>
      <c r="D13" s="226" t="s">
        <v>104</v>
      </c>
      <c r="E13" s="226" t="s">
        <v>105</v>
      </c>
      <c r="F13" s="226" t="s">
        <v>106</v>
      </c>
      <c r="G13" s="315"/>
      <c r="H13" s="197"/>
      <c r="I13" s="219" t="s">
        <v>107</v>
      </c>
    </row>
    <row r="14" spans="1:10">
      <c r="A14" s="147" t="s">
        <v>194</v>
      </c>
      <c r="B14" s="27">
        <v>3106677.89</v>
      </c>
      <c r="C14" s="148">
        <f>'2023 Bank Statements'!N13-'2023 Bank Statements'!N17</f>
        <v>53843722.36999999</v>
      </c>
      <c r="D14" s="148">
        <f>'2023 Bank Statements'!N17</f>
        <v>11150000</v>
      </c>
      <c r="E14" s="148">
        <f>'2023 Bank Statements'!N14-'2023 Bank Statements'!N18</f>
        <v>30256659.20000001</v>
      </c>
      <c r="F14" s="148">
        <f>'2023 Bank Statements'!N18</f>
        <v>33138889.219999999</v>
      </c>
      <c r="G14" s="181">
        <f t="shared" ref="G14:G19" si="0">B14+C14+D14-E14-F14</f>
        <v>4704851.8399999812</v>
      </c>
      <c r="H14" s="225"/>
      <c r="I14" s="203" t="str">
        <f t="shared" ref="I14:I25" si="1">IF(ABS(ROUND((B14+C14+D14-E14-F14-G14),0))&lt;2, "OK", "Doesn't balance")</f>
        <v>OK</v>
      </c>
    </row>
    <row r="15" spans="1:10">
      <c r="A15" s="147" t="s">
        <v>215</v>
      </c>
      <c r="B15" s="148">
        <v>0</v>
      </c>
      <c r="C15" s="182">
        <f>'2023 Bank Statements'!N58-'2023 Bank Statements'!N62</f>
        <v>31888889.219999999</v>
      </c>
      <c r="D15" s="182">
        <f>'2023 Bank Statements'!N62</f>
        <v>0</v>
      </c>
      <c r="E15" s="182">
        <f>'2023 Bank Statements'!N59-'2023 Bank Statements'!N63</f>
        <v>31888889.219999999</v>
      </c>
      <c r="F15" s="182">
        <f>'2023 Bank Statements'!N63</f>
        <v>0</v>
      </c>
      <c r="G15" s="181">
        <f t="shared" si="0"/>
        <v>0</v>
      </c>
      <c r="H15" s="224"/>
      <c r="I15" s="203" t="str">
        <f t="shared" si="1"/>
        <v>OK</v>
      </c>
    </row>
    <row r="16" spans="1:10">
      <c r="A16" s="147" t="s">
        <v>195</v>
      </c>
      <c r="B16" s="10">
        <v>34564028.57</v>
      </c>
      <c r="C16" s="148">
        <f>'2023 Bank Statements'!N31-'2023 Bank Statements'!N35</f>
        <v>9488627.3300000001</v>
      </c>
      <c r="D16" s="148">
        <f>'2023 Bank Statements'!N35</f>
        <v>1250000</v>
      </c>
      <c r="E16" s="148">
        <f>'2023 Bank Statements'!N32-'2023 Bank Statements'!N36</f>
        <v>2059.339999999851</v>
      </c>
      <c r="F16" s="148">
        <f>'2023 Bank Statements'!N36</f>
        <v>11150000</v>
      </c>
      <c r="G16" s="181">
        <f t="shared" si="0"/>
        <v>34150596.560000002</v>
      </c>
      <c r="H16" s="197"/>
      <c r="I16" s="203" t="str">
        <f t="shared" si="1"/>
        <v>OK</v>
      </c>
    </row>
    <row r="17" spans="1:9" ht="30">
      <c r="A17" s="147" t="s">
        <v>196</v>
      </c>
      <c r="B17" s="10">
        <v>72732.479999999996</v>
      </c>
      <c r="C17" s="148">
        <f>'2023 Bank Statements'!N40-'2023 Bank Statements'!N44</f>
        <v>480283.68999999948</v>
      </c>
      <c r="D17" s="148">
        <f>'2023 Bank Statements'!N44</f>
        <v>6650000</v>
      </c>
      <c r="E17" s="148">
        <f>'2023 Bank Statements'!N41-'2023 Bank Statements'!N45</f>
        <v>1662282.6900000004</v>
      </c>
      <c r="F17" s="148">
        <f>'2023 Bank Statements'!N45</f>
        <v>5413437.8799999999</v>
      </c>
      <c r="G17" s="181">
        <f t="shared" si="0"/>
        <v>127295.59999999963</v>
      </c>
      <c r="H17" s="197"/>
      <c r="I17" s="203" t="str">
        <f t="shared" si="1"/>
        <v>OK</v>
      </c>
    </row>
    <row r="18" spans="1:9">
      <c r="A18" s="147" t="s">
        <v>197</v>
      </c>
      <c r="B18" s="10">
        <v>27703352.329999998</v>
      </c>
      <c r="C18" s="148">
        <f>'2023 Bank Statements'!N49-'2023 Bank Statements'!N53</f>
        <v>-5701788.9899999974</v>
      </c>
      <c r="D18" s="148">
        <f>'2023 Bank Statements'!N53</f>
        <v>7074869.5700000003</v>
      </c>
      <c r="E18" s="148">
        <f>'2023 Bank Statements'!N50-'2023 Bank Statements'!N54</f>
        <v>-5500000</v>
      </c>
      <c r="F18" s="148">
        <f>'2023 Bank Statements'!N54</f>
        <v>5500000</v>
      </c>
      <c r="G18" s="181">
        <f t="shared" si="0"/>
        <v>29076432.909999996</v>
      </c>
      <c r="H18" s="197"/>
      <c r="I18" s="203" t="str">
        <f t="shared" si="1"/>
        <v>OK</v>
      </c>
    </row>
    <row r="19" spans="1:9">
      <c r="A19" s="147" t="s">
        <v>198</v>
      </c>
      <c r="B19" s="10">
        <v>81407.09</v>
      </c>
      <c r="C19" s="182">
        <f>'2023 Bank Statements'!N22-'2023 Bank Statements'!N26</f>
        <v>439825.05</v>
      </c>
      <c r="D19" s="182">
        <f>'2023 Bank Statements'!N26</f>
        <v>0</v>
      </c>
      <c r="E19" s="182">
        <f>'2023 Bank Statements'!N23-'2023 Bank Statements'!N27</f>
        <v>68427.770000000019</v>
      </c>
      <c r="F19" s="182">
        <f>'2023 Bank Statements'!N27</f>
        <v>423955.3</v>
      </c>
      <c r="G19" s="181">
        <f t="shared" si="0"/>
        <v>28849.070000000007</v>
      </c>
      <c r="H19" s="197"/>
      <c r="I19" s="203" t="str">
        <f t="shared" si="1"/>
        <v>OK</v>
      </c>
    </row>
    <row r="20" spans="1:9" hidden="1">
      <c r="A20" s="223" t="s">
        <v>128</v>
      </c>
      <c r="B20" s="221"/>
      <c r="C20" s="221"/>
      <c r="D20" s="222"/>
      <c r="E20" s="221"/>
      <c r="F20" s="222"/>
      <c r="G20" s="221"/>
      <c r="H20" s="197"/>
      <c r="I20" s="203" t="str">
        <f t="shared" si="1"/>
        <v>OK</v>
      </c>
    </row>
    <row r="21" spans="1:9" hidden="1">
      <c r="A21" s="223" t="s">
        <v>129</v>
      </c>
      <c r="B21" s="221"/>
      <c r="C21" s="221"/>
      <c r="D21" s="222"/>
      <c r="E21" s="221"/>
      <c r="F21" s="222"/>
      <c r="G21" s="221"/>
      <c r="H21" s="197"/>
      <c r="I21" s="203" t="str">
        <f t="shared" si="1"/>
        <v>OK</v>
      </c>
    </row>
    <row r="22" spans="1:9" hidden="1">
      <c r="A22" s="223" t="s">
        <v>130</v>
      </c>
      <c r="B22" s="221"/>
      <c r="C22" s="221"/>
      <c r="D22" s="222"/>
      <c r="E22" s="221"/>
      <c r="F22" s="222"/>
      <c r="G22" s="221"/>
      <c r="H22" s="197"/>
      <c r="I22" s="203" t="str">
        <f t="shared" si="1"/>
        <v>OK</v>
      </c>
    </row>
    <row r="23" spans="1:9" hidden="1">
      <c r="A23" s="223" t="s">
        <v>131</v>
      </c>
      <c r="B23" s="221"/>
      <c r="C23" s="221"/>
      <c r="D23" s="222"/>
      <c r="E23" s="221"/>
      <c r="F23" s="222"/>
      <c r="G23" s="221"/>
      <c r="H23" s="197"/>
      <c r="I23" s="203" t="str">
        <f t="shared" si="1"/>
        <v>OK</v>
      </c>
    </row>
    <row r="24" spans="1:9" hidden="1">
      <c r="A24" s="223" t="s">
        <v>132</v>
      </c>
      <c r="B24" s="221"/>
      <c r="C24" s="221"/>
      <c r="D24" s="222"/>
      <c r="E24" s="221"/>
      <c r="F24" s="222"/>
      <c r="G24" s="221"/>
      <c r="H24" s="197"/>
      <c r="I24" s="203" t="str">
        <f t="shared" si="1"/>
        <v>OK</v>
      </c>
    </row>
    <row r="25" spans="1:9">
      <c r="A25" s="217" t="s">
        <v>108</v>
      </c>
      <c r="B25" s="214">
        <f t="shared" ref="B25:G25" si="2">SUM(B14:B24)</f>
        <v>65528198.359999999</v>
      </c>
      <c r="C25" s="214">
        <f t="shared" si="2"/>
        <v>90439558.669999987</v>
      </c>
      <c r="D25" s="214">
        <f t="shared" si="2"/>
        <v>26124869.57</v>
      </c>
      <c r="E25" s="214">
        <f t="shared" si="2"/>
        <v>58378318.220000006</v>
      </c>
      <c r="F25" s="214">
        <f t="shared" si="2"/>
        <v>55626282.399999999</v>
      </c>
      <c r="G25" s="220">
        <f t="shared" si="2"/>
        <v>68088025.979999974</v>
      </c>
      <c r="H25" s="196"/>
      <c r="I25" s="203" t="str">
        <f t="shared" si="1"/>
        <v>OK</v>
      </c>
    </row>
    <row r="26" spans="1:9">
      <c r="A26" s="197"/>
      <c r="B26" s="196"/>
      <c r="C26" s="196"/>
      <c r="D26" s="196"/>
      <c r="E26" s="196"/>
      <c r="F26" s="196"/>
      <c r="G26" s="196"/>
      <c r="H26" s="196"/>
      <c r="I26" s="196"/>
    </row>
    <row r="27" spans="1:9">
      <c r="A27" s="197"/>
      <c r="B27" s="311" t="s">
        <v>109</v>
      </c>
      <c r="C27" s="311"/>
      <c r="D27" s="311"/>
      <c r="E27" s="311"/>
      <c r="F27" s="311"/>
      <c r="G27" s="311"/>
      <c r="H27" s="196"/>
      <c r="I27" s="219" t="s">
        <v>107</v>
      </c>
    </row>
    <row r="28" spans="1:9">
      <c r="A28" s="218" t="s">
        <v>110</v>
      </c>
      <c r="B28" s="184">
        <v>609749</v>
      </c>
      <c r="C28" s="184">
        <v>-609749</v>
      </c>
      <c r="D28" s="152"/>
      <c r="E28" s="152"/>
      <c r="F28" s="152"/>
      <c r="G28" s="152"/>
      <c r="H28" s="196"/>
      <c r="I28" s="203" t="str">
        <f>IF(ABS(ROUND((B28+C28),0))&lt;2, "OK", "Doesn't balance")</f>
        <v>OK</v>
      </c>
    </row>
    <row r="29" spans="1:9">
      <c r="A29" s="218" t="s">
        <v>111</v>
      </c>
      <c r="B29" s="152"/>
      <c r="C29" s="183">
        <v>146867.88</v>
      </c>
      <c r="D29" s="152"/>
      <c r="E29" s="152"/>
      <c r="F29" s="152"/>
      <c r="G29" s="183">
        <f>C29</f>
        <v>146867.88</v>
      </c>
      <c r="H29" s="196"/>
      <c r="I29" s="203" t="str">
        <f>IF(ABS(ROUND((C29-G29),0))&lt;2, "OK", "Doesn't balance")</f>
        <v>OK</v>
      </c>
    </row>
    <row r="30" spans="1:9" ht="30">
      <c r="A30" s="218" t="s">
        <v>112</v>
      </c>
      <c r="B30" s="183"/>
      <c r="C30" s="152"/>
      <c r="D30" s="152"/>
      <c r="E30" s="183">
        <f>B30</f>
        <v>0</v>
      </c>
      <c r="F30" s="152"/>
      <c r="G30" s="152"/>
      <c r="H30" s="196"/>
      <c r="I30" s="203" t="str">
        <f>IF(ABS(ROUND((B30-E30),0))&lt;2, "OK", "Doesn't balance")</f>
        <v>OK</v>
      </c>
    </row>
    <row r="31" spans="1:9" ht="30">
      <c r="A31" s="218" t="s">
        <v>113</v>
      </c>
      <c r="B31" s="152"/>
      <c r="C31" s="152"/>
      <c r="D31" s="152"/>
      <c r="E31" s="183">
        <f>237626.95+11439.92+5496.5+28573.43+17567.18</f>
        <v>300703.98000000004</v>
      </c>
      <c r="F31" s="152"/>
      <c r="G31" s="183">
        <f>-E31</f>
        <v>-300703.98000000004</v>
      </c>
      <c r="H31" s="196"/>
      <c r="I31" s="203" t="str">
        <f>IF(ABS(ROUND((E31+G31),0))&lt;2, "OK", "Doesn't balance")</f>
        <v>OK</v>
      </c>
    </row>
    <row r="32" spans="1:9">
      <c r="A32" s="218" t="s">
        <v>114</v>
      </c>
      <c r="B32" s="152"/>
      <c r="C32" s="193">
        <v>-54982.63</v>
      </c>
      <c r="D32" s="152"/>
      <c r="E32" s="193">
        <v>-54983</v>
      </c>
      <c r="F32" s="152"/>
      <c r="G32" s="152"/>
      <c r="H32" s="196"/>
      <c r="I32" s="203" t="str">
        <f>IF(ABS(ROUND((C32-E32),0))&lt;2, "OK", "Doesn't balance")</f>
        <v>OK</v>
      </c>
    </row>
    <row r="33" spans="1:9" ht="30">
      <c r="A33" s="218" t="s">
        <v>115</v>
      </c>
      <c r="B33" s="152"/>
      <c r="C33" s="183">
        <v>10555.78</v>
      </c>
      <c r="D33" s="152"/>
      <c r="E33" s="152"/>
      <c r="F33" s="152"/>
      <c r="G33" s="152"/>
      <c r="H33" s="196"/>
    </row>
    <row r="34" spans="1:9">
      <c r="A34" s="218" t="s">
        <v>116</v>
      </c>
      <c r="B34" s="152"/>
      <c r="C34" s="150">
        <v>674261.13</v>
      </c>
      <c r="D34" s="152"/>
      <c r="E34" s="149">
        <v>674261.13</v>
      </c>
      <c r="F34" s="152"/>
      <c r="G34" s="152"/>
      <c r="H34" s="196"/>
      <c r="I34" s="203" t="str">
        <f>IF(ABS(ROUND((C34-E34),0))&lt;2, "OK", "Doesn't balance")</f>
        <v>OK</v>
      </c>
    </row>
    <row r="35" spans="1:9">
      <c r="A35" s="218" t="s">
        <v>117</v>
      </c>
      <c r="B35" s="152"/>
      <c r="C35" s="150">
        <v>0</v>
      </c>
      <c r="D35" s="152"/>
      <c r="E35" s="150">
        <v>0</v>
      </c>
      <c r="F35" s="152"/>
      <c r="G35" s="152"/>
      <c r="H35" s="196"/>
      <c r="I35" s="203" t="str">
        <f>IF(ABS(ROUND((C35-E35),0))&lt;2, "OK", "Doesn't balance")</f>
        <v>OK</v>
      </c>
    </row>
    <row r="36" spans="1:9" ht="30">
      <c r="A36" s="218" t="s">
        <v>118</v>
      </c>
      <c r="B36" s="183">
        <v>15385</v>
      </c>
      <c r="C36" s="152"/>
      <c r="D36" s="152"/>
      <c r="E36" s="152"/>
      <c r="F36" s="152"/>
      <c r="G36" s="183">
        <v>15285</v>
      </c>
      <c r="H36" s="196"/>
      <c r="I36" s="196"/>
    </row>
    <row r="37" spans="1:9">
      <c r="A37" s="218" t="s">
        <v>119</v>
      </c>
      <c r="B37" s="185">
        <f>28873.43-300</f>
        <v>28573.43</v>
      </c>
      <c r="C37" s="151">
        <f>146867.88</f>
        <v>146867.88</v>
      </c>
      <c r="D37" s="152"/>
      <c r="E37" s="151"/>
      <c r="F37" s="152"/>
      <c r="G37" s="151">
        <f>C37+E37</f>
        <v>146867.88</v>
      </c>
      <c r="H37" s="196"/>
      <c r="I37" s="196"/>
    </row>
    <row r="38" spans="1:9">
      <c r="A38" s="217" t="s">
        <v>120</v>
      </c>
      <c r="B38" s="214">
        <f>SUM(B28:B37)</f>
        <v>653707.43000000005</v>
      </c>
      <c r="C38" s="214">
        <f>SUM(C28:C37)</f>
        <v>313821.04000000004</v>
      </c>
      <c r="D38" s="216"/>
      <c r="E38" s="214">
        <f>SUM(E28:E37)</f>
        <v>919982.1100000001</v>
      </c>
      <c r="F38" s="215"/>
      <c r="G38" s="214">
        <f>SUM(G28:G37)</f>
        <v>8316.7799999999697</v>
      </c>
      <c r="H38" s="196"/>
      <c r="I38" s="196"/>
    </row>
    <row r="39" spans="1:9">
      <c r="A39" s="197"/>
      <c r="B39" s="196"/>
      <c r="C39" s="196"/>
      <c r="D39" s="196"/>
      <c r="E39" s="196"/>
      <c r="F39" s="196"/>
      <c r="G39" s="196"/>
      <c r="H39" s="196"/>
      <c r="I39" s="196"/>
    </row>
    <row r="40" spans="1:9">
      <c r="A40" s="213"/>
      <c r="B40" s="311" t="s">
        <v>121</v>
      </c>
      <c r="C40" s="311"/>
      <c r="D40" s="312"/>
      <c r="E40" s="311"/>
      <c r="F40" s="311"/>
      <c r="G40" s="311"/>
      <c r="H40" s="207"/>
      <c r="I40" s="196"/>
    </row>
    <row r="41" spans="1:9" ht="78.75" customHeight="1">
      <c r="A41" s="212"/>
      <c r="B41" s="208" t="s">
        <v>122</v>
      </c>
      <c r="C41" s="211" t="s">
        <v>123</v>
      </c>
      <c r="D41" s="209"/>
      <c r="E41" s="210" t="s">
        <v>124</v>
      </c>
      <c r="F41" s="209"/>
      <c r="G41" s="208" t="s">
        <v>125</v>
      </c>
      <c r="H41" s="207"/>
      <c r="I41" s="196"/>
    </row>
    <row r="42" spans="1:9">
      <c r="A42" s="206" t="s">
        <v>126</v>
      </c>
      <c r="B42" s="204">
        <v>65584068.939999998</v>
      </c>
      <c r="C42" s="154">
        <f>69274079+972854</f>
        <v>70246933</v>
      </c>
      <c r="D42" s="205"/>
      <c r="E42" s="153">
        <f>49355014+18040186+852828</f>
        <v>68248028</v>
      </c>
      <c r="F42" s="205"/>
      <c r="G42" s="204">
        <v>68307070.819999993</v>
      </c>
      <c r="H42" s="197"/>
      <c r="I42" s="203"/>
    </row>
    <row r="43" spans="1:9">
      <c r="A43" s="202" t="s">
        <v>127</v>
      </c>
      <c r="B43" s="187">
        <f>B25+B38-B42</f>
        <v>597836.85000000149</v>
      </c>
      <c r="C43" s="201">
        <f>C25+C38-C42</f>
        <v>20506446.709999993</v>
      </c>
      <c r="D43" s="199"/>
      <c r="E43" s="200">
        <f>E25+E38-E42</f>
        <v>-8949727.6699999943</v>
      </c>
      <c r="F43" s="199"/>
      <c r="G43" s="198">
        <f>G25+G38-G42</f>
        <v>-210728.06000001729</v>
      </c>
      <c r="H43" s="197"/>
      <c r="I43" s="328"/>
    </row>
    <row r="44" spans="1:9">
      <c r="A44" s="196"/>
      <c r="B44" s="196"/>
      <c r="C44" s="196"/>
      <c r="D44" s="196"/>
      <c r="E44" s="196"/>
      <c r="F44" s="196"/>
      <c r="G44" s="196"/>
      <c r="H44" s="196"/>
      <c r="I44" s="196"/>
    </row>
    <row r="45" spans="1:9">
      <c r="A45" s="196"/>
      <c r="B45" s="196"/>
      <c r="C45" s="196"/>
      <c r="D45" s="196"/>
      <c r="E45" s="196"/>
      <c r="F45" s="196"/>
      <c r="G45" s="196"/>
      <c r="H45" s="196"/>
      <c r="I45" s="196"/>
    </row>
  </sheetData>
  <mergeCells count="14">
    <mergeCell ref="A4:C4"/>
    <mergeCell ref="A5:C5"/>
    <mergeCell ref="A6:C6"/>
    <mergeCell ref="A7:C7"/>
    <mergeCell ref="A8:C8"/>
    <mergeCell ref="B10:G10"/>
    <mergeCell ref="B27:G27"/>
    <mergeCell ref="B40:G40"/>
    <mergeCell ref="B11:G11"/>
    <mergeCell ref="A12:A13"/>
    <mergeCell ref="B12:B13"/>
    <mergeCell ref="C12:D12"/>
    <mergeCell ref="E12:F12"/>
    <mergeCell ref="G12:G13"/>
  </mergeCells>
  <conditionalFormatting sqref="D25 F25">
    <cfRule type="expression" dxfId="11" priority="1">
      <formula>($D$25-$F$25)&gt;10</formula>
    </cfRule>
  </conditionalFormatting>
  <dataValidations count="1">
    <dataValidation type="decimal" operator="lessThanOrEqual" allowBlank="1" showErrorMessage="1" errorTitle="Amount must be negative" error="Amount must be entered as a negative amount. " sqref="C28 B30 E30 G31 E32 C32 C35 E35">
      <formula1>0</formula1>
    </dataValidation>
  </dataValidations>
  <hyperlinks>
    <hyperlink ref="B2" r:id="rId1" display="See here for Schedule 6 instructions"/>
  </hyperlinks>
  <pageMargins left="0.25" right="0.25" top="0.75" bottom="0.75" header="0.3" footer="0.3"/>
  <pageSetup scale="66" orientation="landscape"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V101"/>
  <sheetViews>
    <sheetView showGridLines="0" zoomScaleNormal="100" workbookViewId="0">
      <pane xSplit="1" ySplit="10" topLeftCell="B29" activePane="bottomRight" state="frozen"/>
      <selection pane="topRight" activeCell="B1" sqref="B1"/>
      <selection pane="bottomLeft" activeCell="A11" sqref="A11"/>
      <selection pane="bottomRight" activeCell="H48" sqref="H48"/>
    </sheetView>
  </sheetViews>
  <sheetFormatPr defaultColWidth="8.85546875" defaultRowHeight="11.25" outlineLevelRow="1"/>
  <cols>
    <col min="1" max="1" width="45" style="1" customWidth="1"/>
    <col min="2" max="14" width="12.5703125" style="1" customWidth="1"/>
    <col min="15" max="15" width="3.7109375" style="8" customWidth="1"/>
    <col min="16" max="16" width="38.7109375" style="1" customWidth="1"/>
    <col min="17" max="17" width="14.28515625" style="1" customWidth="1"/>
    <col min="18" max="16384" width="8.85546875" style="1"/>
  </cols>
  <sheetData>
    <row r="1" spans="1:21" ht="12" thickBot="1">
      <c r="A1" s="24" t="s">
        <v>18</v>
      </c>
      <c r="B1" s="25"/>
      <c r="E1" s="19" t="s">
        <v>33</v>
      </c>
      <c r="P1" s="45" t="s">
        <v>18</v>
      </c>
      <c r="Q1" s="46"/>
    </row>
    <row r="2" spans="1:21">
      <c r="A2" s="12" t="s">
        <v>12</v>
      </c>
      <c r="B2" s="16">
        <f>SUMIF(A$11:A$990,A2,N$11:N$990)</f>
        <v>65528198.359999992</v>
      </c>
      <c r="C2" s="35" t="s">
        <v>45</v>
      </c>
      <c r="E2" s="1" t="s">
        <v>50</v>
      </c>
      <c r="F2" s="5"/>
      <c r="G2" s="5"/>
      <c r="H2" s="5"/>
      <c r="I2" s="5"/>
      <c r="J2" s="5"/>
      <c r="K2" s="5"/>
      <c r="L2" s="5"/>
      <c r="M2" s="5"/>
      <c r="N2" s="5"/>
      <c r="P2" s="49" t="s">
        <v>22</v>
      </c>
      <c r="Q2" s="50">
        <f>SUMIF(P$11:P$990,P2,Q$11:Q$990)</f>
        <v>147022.88</v>
      </c>
    </row>
    <row r="3" spans="1:21">
      <c r="A3" s="13" t="s">
        <v>14</v>
      </c>
      <c r="B3" s="16">
        <f>SUMIF(A$11:A$990,A3,N$11:N$990)</f>
        <v>116564428.23999998</v>
      </c>
      <c r="C3" s="1">
        <f>COUNTIFS(A12:A1000,"=Beginning Balance",B12:B1000,"&lt;&gt;")</f>
        <v>6</v>
      </c>
      <c r="E3" s="26" t="s">
        <v>39</v>
      </c>
      <c r="P3" s="39" t="s">
        <v>23</v>
      </c>
      <c r="Q3" s="16">
        <f>SUMIF(P$11:P$990,P3,Q$11:Q$990)</f>
        <v>-1651660.52</v>
      </c>
    </row>
    <row r="4" spans="1:21">
      <c r="A4" s="13" t="s">
        <v>32</v>
      </c>
      <c r="B4" s="16">
        <f>SUMIF(A$11:A$990,A4,N$11:N$990)</f>
        <v>26124869.57</v>
      </c>
      <c r="C4" s="26" t="s">
        <v>44</v>
      </c>
      <c r="E4" s="1" t="s">
        <v>37</v>
      </c>
      <c r="P4" s="39" t="s">
        <v>47</v>
      </c>
      <c r="Q4" s="16">
        <f>SUMIF(P$11:P$990,P4,Q$11:Q$990)</f>
        <v>60</v>
      </c>
    </row>
    <row r="5" spans="1:21">
      <c r="A5" s="13" t="s">
        <v>31</v>
      </c>
      <c r="B5" s="16">
        <f>SUMIF(A$11:A$990,A5,N$11:N$990)</f>
        <v>55626282.399999999</v>
      </c>
      <c r="C5" s="34">
        <f>ROUND(B4-B5,0)</f>
        <v>-29501413</v>
      </c>
      <c r="E5" s="1" t="s">
        <v>38</v>
      </c>
      <c r="P5" s="39" t="s">
        <v>48</v>
      </c>
      <c r="Q5" s="16">
        <f>SUMIF(P$11:P$990,P5,Q$11:Q$990)</f>
        <v>-0.03</v>
      </c>
    </row>
    <row r="6" spans="1:21" ht="12" thickBot="1">
      <c r="A6" s="13" t="s">
        <v>74</v>
      </c>
      <c r="B6" s="16">
        <f>SUMIF(A$11:A$990,A6,N$11:N$990)</f>
        <v>114004600.62</v>
      </c>
      <c r="E6" s="1" t="s">
        <v>49</v>
      </c>
      <c r="P6" s="51" t="s">
        <v>46</v>
      </c>
      <c r="Q6" s="17">
        <f>SUMIF(P$11:P$990,P6,Q$11:Q$990)</f>
        <v>66583446.290000007</v>
      </c>
    </row>
    <row r="7" spans="1:21">
      <c r="A7" s="14"/>
      <c r="B7" s="16"/>
      <c r="C7" s="26"/>
      <c r="E7" s="26" t="s">
        <v>35</v>
      </c>
      <c r="P7" s="48"/>
      <c r="Q7" s="47"/>
    </row>
    <row r="8" spans="1:21" ht="12" thickBot="1">
      <c r="A8" s="15" t="s">
        <v>13</v>
      </c>
      <c r="B8" s="17">
        <f>SUMIF(A$11:A$990,A8,N$11:N$990)</f>
        <v>68088023.960000008</v>
      </c>
      <c r="C8" s="34"/>
      <c r="E8" s="26" t="s">
        <v>36</v>
      </c>
      <c r="P8" s="48"/>
      <c r="Q8" s="47"/>
    </row>
    <row r="9" spans="1:21">
      <c r="A9" s="33" t="str">
        <f>IF(ABS(SUM(N11:N1990)-SUM(B2:B8))&gt;10, "PROBLEM WITH TOTAL FORMULAS IN CELLS B2:B8", "Totals match sum of column N")</f>
        <v>Totals match sum of column N</v>
      </c>
      <c r="D9" s="18"/>
      <c r="O9" s="32"/>
    </row>
    <row r="10" spans="1:21">
      <c r="A10" s="23" t="s">
        <v>16</v>
      </c>
      <c r="B10" s="23" t="s">
        <v>0</v>
      </c>
      <c r="C10" s="23" t="s">
        <v>1</v>
      </c>
      <c r="D10" s="23" t="s">
        <v>2</v>
      </c>
      <c r="E10" s="23" t="s">
        <v>3</v>
      </c>
      <c r="F10" s="23" t="s">
        <v>4</v>
      </c>
      <c r="G10" s="23" t="s">
        <v>5</v>
      </c>
      <c r="H10" s="23" t="s">
        <v>6</v>
      </c>
      <c r="I10" s="23" t="s">
        <v>7</v>
      </c>
      <c r="J10" s="23" t="s">
        <v>8</v>
      </c>
      <c r="K10" s="23" t="s">
        <v>9</v>
      </c>
      <c r="L10" s="23" t="s">
        <v>10</v>
      </c>
      <c r="M10" s="23" t="s">
        <v>11</v>
      </c>
      <c r="N10" s="23" t="s">
        <v>17</v>
      </c>
      <c r="P10" s="325" t="s">
        <v>75</v>
      </c>
      <c r="Q10" s="326"/>
    </row>
    <row r="11" spans="1:21">
      <c r="A11" s="20" t="s">
        <v>199</v>
      </c>
      <c r="B11" s="21"/>
      <c r="C11" s="21"/>
      <c r="D11" s="21"/>
      <c r="E11" s="21"/>
      <c r="F11" s="21"/>
      <c r="G11" s="21"/>
      <c r="H11" s="21"/>
      <c r="I11" s="21"/>
      <c r="J11" s="21"/>
      <c r="K11" s="21"/>
      <c r="L11" s="21"/>
      <c r="M11" s="21"/>
      <c r="N11" s="22"/>
      <c r="O11" s="6"/>
      <c r="P11" s="323" t="str">
        <f>A11</f>
        <v>Treasurer's Checking 8928</v>
      </c>
      <c r="Q11" s="324"/>
    </row>
    <row r="12" spans="1:21" outlineLevel="1">
      <c r="A12" s="1" t="s">
        <v>12</v>
      </c>
      <c r="B12" s="27">
        <v>3106677.89</v>
      </c>
      <c r="C12" s="29">
        <v>2635352.4300000002</v>
      </c>
      <c r="D12" s="29">
        <v>3926121.44</v>
      </c>
      <c r="E12" s="29">
        <v>4364604.88</v>
      </c>
      <c r="F12" s="29">
        <v>4392634.6100000003</v>
      </c>
      <c r="G12" s="29">
        <v>4107400.71</v>
      </c>
      <c r="H12" s="29">
        <v>3924040.97</v>
      </c>
      <c r="I12" s="29">
        <v>4765861.34</v>
      </c>
      <c r="J12" s="29">
        <v>4313991.95</v>
      </c>
      <c r="K12" s="29">
        <v>3926957.4</v>
      </c>
      <c r="L12" s="29">
        <v>2582547.19</v>
      </c>
      <c r="M12" s="29">
        <v>4317440.8</v>
      </c>
      <c r="N12" s="30">
        <f>B12</f>
        <v>3106677.89</v>
      </c>
      <c r="O12" s="7"/>
      <c r="P12" s="2" t="s">
        <v>22</v>
      </c>
      <c r="Q12" s="36">
        <f>146867.88</f>
        <v>146867.88</v>
      </c>
      <c r="R12" s="179" t="s">
        <v>212</v>
      </c>
      <c r="S12" s="178"/>
      <c r="T12" s="178"/>
      <c r="U12" s="178"/>
    </row>
    <row r="13" spans="1:21" outlineLevel="1">
      <c r="A13" s="9" t="s">
        <v>14</v>
      </c>
      <c r="B13" s="28">
        <v>7424626.8200000003</v>
      </c>
      <c r="C13" s="10">
        <v>4855116.66</v>
      </c>
      <c r="D13" s="10">
        <v>4816442.49</v>
      </c>
      <c r="E13" s="10">
        <v>4589573.6500000004</v>
      </c>
      <c r="F13" s="10">
        <v>5122568.04</v>
      </c>
      <c r="G13" s="10">
        <v>6120181.0800000001</v>
      </c>
      <c r="H13" s="10">
        <v>4142931.36</v>
      </c>
      <c r="I13" s="10">
        <v>4286338.3899999997</v>
      </c>
      <c r="J13" s="10">
        <v>3806062.97</v>
      </c>
      <c r="K13" s="10">
        <v>6168086.29</v>
      </c>
      <c r="L13" s="10">
        <v>6595761.8399999999</v>
      </c>
      <c r="M13" s="10">
        <v>7066032.7800000003</v>
      </c>
      <c r="N13" s="30">
        <f>SUM(B13:M13)</f>
        <v>64993722.36999999</v>
      </c>
      <c r="O13" s="7"/>
      <c r="P13" s="2" t="s">
        <v>23</v>
      </c>
      <c r="Q13" s="36">
        <f>-11439.92+-775810.87+-858913.23</f>
        <v>-1646164.02</v>
      </c>
      <c r="R13" s="179" t="s">
        <v>217</v>
      </c>
      <c r="S13" s="178"/>
      <c r="T13" s="178"/>
      <c r="U13" s="178"/>
    </row>
    <row r="14" spans="1:21" ht="12.75" outlineLevel="1">
      <c r="A14" s="9" t="s">
        <v>74</v>
      </c>
      <c r="B14" s="28">
        <v>7895952.2800000003</v>
      </c>
      <c r="C14" s="10">
        <v>3564347.65</v>
      </c>
      <c r="D14" s="10">
        <v>4377959.05</v>
      </c>
      <c r="E14" s="10">
        <v>4561543.92</v>
      </c>
      <c r="F14" s="10">
        <v>5407801.9400000004</v>
      </c>
      <c r="G14" s="10">
        <v>6303540.8200000003</v>
      </c>
      <c r="H14" s="10">
        <v>3301110.99</v>
      </c>
      <c r="I14" s="10">
        <f>4734942.97+3264.81</f>
        <v>4738207.7799999993</v>
      </c>
      <c r="J14" s="10">
        <v>4193097.52</v>
      </c>
      <c r="K14" s="10">
        <v>7512496.5</v>
      </c>
      <c r="L14" s="10">
        <v>4860868.2300000004</v>
      </c>
      <c r="M14" s="10">
        <v>6678621.7400000002</v>
      </c>
      <c r="N14" s="30">
        <f>SUM(B14:M14)</f>
        <v>63395548.420000009</v>
      </c>
      <c r="O14" s="7"/>
      <c r="P14" s="37" t="s">
        <v>40</v>
      </c>
      <c r="Q14" s="36">
        <f>60</f>
        <v>60</v>
      </c>
      <c r="R14" s="179" t="s">
        <v>218</v>
      </c>
      <c r="S14" s="178"/>
      <c r="T14" s="178"/>
      <c r="U14" s="178"/>
    </row>
    <row r="15" spans="1:21" ht="12.75" outlineLevel="1">
      <c r="A15" s="3" t="s">
        <v>13</v>
      </c>
      <c r="B15" s="31">
        <f>B12+B13-B14</f>
        <v>2635352.4300000006</v>
      </c>
      <c r="C15" s="31">
        <f t="shared" ref="C15:M15" si="0">C12+C13-C14</f>
        <v>3926121.44</v>
      </c>
      <c r="D15" s="31">
        <f t="shared" si="0"/>
        <v>4364604.88</v>
      </c>
      <c r="E15" s="31">
        <f t="shared" si="0"/>
        <v>4392634.6100000013</v>
      </c>
      <c r="F15" s="31">
        <f t="shared" si="0"/>
        <v>4107400.71</v>
      </c>
      <c r="G15" s="31">
        <f t="shared" si="0"/>
        <v>3924040.9699999988</v>
      </c>
      <c r="H15" s="31">
        <f t="shared" si="0"/>
        <v>4765861.34</v>
      </c>
      <c r="I15" s="31">
        <f t="shared" si="0"/>
        <v>4313991.9500000011</v>
      </c>
      <c r="J15" s="31">
        <f t="shared" si="0"/>
        <v>3926957.4</v>
      </c>
      <c r="K15" s="31">
        <f t="shared" si="0"/>
        <v>2582547.1899999995</v>
      </c>
      <c r="L15" s="31">
        <f t="shared" si="0"/>
        <v>4317440.7999999989</v>
      </c>
      <c r="M15" s="31">
        <f t="shared" si="0"/>
        <v>4704851.84</v>
      </c>
      <c r="N15" s="30">
        <f>M15</f>
        <v>4704851.84</v>
      </c>
      <c r="O15" s="7"/>
      <c r="P15" s="37" t="s">
        <v>41</v>
      </c>
      <c r="Q15" s="36">
        <f>-0.03</f>
        <v>-0.03</v>
      </c>
      <c r="R15" s="179"/>
      <c r="S15" s="178"/>
      <c r="T15" s="178"/>
      <c r="U15" s="178"/>
    </row>
    <row r="16" spans="1:21" outlineLevel="1">
      <c r="A16" s="3"/>
      <c r="B16" s="2"/>
      <c r="C16" s="2"/>
      <c r="D16" s="2"/>
      <c r="E16" s="2"/>
      <c r="F16" s="2"/>
      <c r="G16" s="2"/>
      <c r="H16" s="2"/>
      <c r="I16" s="2"/>
      <c r="J16" s="2"/>
      <c r="K16" s="2"/>
      <c r="L16" s="2"/>
      <c r="M16" s="2"/>
      <c r="N16" s="11"/>
      <c r="O16" s="7"/>
      <c r="P16" s="37" t="s">
        <v>46</v>
      </c>
      <c r="Q16" s="38">
        <f>N15+SUM(Q12:Q15)</f>
        <v>3205615.67</v>
      </c>
      <c r="R16" s="180"/>
    </row>
    <row r="17" spans="1:22" outlineLevel="1">
      <c r="A17" s="170" t="s">
        <v>32</v>
      </c>
      <c r="B17" s="10">
        <v>2500000</v>
      </c>
      <c r="C17" s="10"/>
      <c r="D17" s="10"/>
      <c r="E17" s="10"/>
      <c r="F17" s="10"/>
      <c r="G17" s="10">
        <f>1150000+1000000</f>
        <v>2150000</v>
      </c>
      <c r="H17" s="10"/>
      <c r="I17" s="10"/>
      <c r="J17" s="10"/>
      <c r="K17" s="10">
        <f>1000000+500000</f>
        <v>1500000</v>
      </c>
      <c r="L17" s="10">
        <v>2000000</v>
      </c>
      <c r="M17" s="10">
        <f>2000000+1000000</f>
        <v>3000000</v>
      </c>
      <c r="N17" s="30">
        <f>SUM(B17:M17)</f>
        <v>11150000</v>
      </c>
      <c r="O17" s="7"/>
    </row>
    <row r="18" spans="1:22" outlineLevel="1">
      <c r="A18" s="170" t="s">
        <v>31</v>
      </c>
      <c r="B18" s="10">
        <f>B58</f>
        <v>4428668.8600000003</v>
      </c>
      <c r="C18" s="10">
        <f t="shared" ref="C18:M18" si="1">C58</f>
        <v>1073785.21</v>
      </c>
      <c r="D18" s="10">
        <f t="shared" si="1"/>
        <v>2003608.37</v>
      </c>
      <c r="E18" s="10">
        <f>E58+500000</f>
        <v>2992472.96</v>
      </c>
      <c r="F18" s="10">
        <f t="shared" si="1"/>
        <v>1917289.66</v>
      </c>
      <c r="G18" s="10">
        <f t="shared" si="1"/>
        <v>2892061.91</v>
      </c>
      <c r="H18" s="10">
        <f t="shared" si="1"/>
        <v>1812461.78</v>
      </c>
      <c r="I18" s="10">
        <f t="shared" si="1"/>
        <v>2372336.2200000002</v>
      </c>
      <c r="J18" s="10">
        <f>J58+750000</f>
        <v>2645345.27</v>
      </c>
      <c r="K18" s="10">
        <f t="shared" si="1"/>
        <v>5468286.6699999999</v>
      </c>
      <c r="L18" s="10">
        <f t="shared" si="1"/>
        <v>2984517.74</v>
      </c>
      <c r="M18" s="10">
        <f t="shared" si="1"/>
        <v>2548054.5699999998</v>
      </c>
      <c r="N18" s="30">
        <f>SUM(B18:M18)</f>
        <v>33138889.219999999</v>
      </c>
      <c r="O18" s="7"/>
    </row>
    <row r="19" spans="1:22" outlineLevel="1">
      <c r="A19" s="3"/>
      <c r="B19" s="2"/>
      <c r="C19" s="2"/>
      <c r="D19" s="2"/>
      <c r="E19" s="2"/>
      <c r="F19" s="2"/>
      <c r="G19" s="2"/>
      <c r="H19" s="2"/>
      <c r="I19" s="2"/>
      <c r="J19" s="2"/>
      <c r="K19" s="2"/>
      <c r="L19" s="2"/>
      <c r="M19" s="2"/>
      <c r="N19" s="4"/>
      <c r="O19" s="7"/>
    </row>
    <row r="20" spans="1:22">
      <c r="A20" s="20" t="s">
        <v>201</v>
      </c>
      <c r="B20" s="21"/>
      <c r="C20" s="21"/>
      <c r="D20" s="21"/>
      <c r="E20" s="21"/>
      <c r="F20" s="21"/>
      <c r="G20" s="21"/>
      <c r="H20" s="21"/>
      <c r="I20" s="21"/>
      <c r="J20" s="21"/>
      <c r="K20" s="21"/>
      <c r="L20" s="21"/>
      <c r="M20" s="21"/>
      <c r="N20" s="22"/>
      <c r="O20" s="6"/>
      <c r="P20" s="323" t="str">
        <f>A20</f>
        <v>Municipal Court 8944</v>
      </c>
      <c r="Q20" s="324"/>
    </row>
    <row r="21" spans="1:22" outlineLevel="1">
      <c r="A21" s="1" t="s">
        <v>12</v>
      </c>
      <c r="B21" s="10">
        <v>81407.09</v>
      </c>
      <c r="C21" s="29">
        <v>71389.09</v>
      </c>
      <c r="D21" s="29">
        <v>63124.09</v>
      </c>
      <c r="E21" s="29">
        <v>54677.26</v>
      </c>
      <c r="F21" s="29">
        <v>59654.26</v>
      </c>
      <c r="G21" s="29">
        <v>63838.09</v>
      </c>
      <c r="H21" s="29">
        <v>61199.09</v>
      </c>
      <c r="I21" s="29">
        <v>57974.09</v>
      </c>
      <c r="J21" s="29">
        <v>52152.639999999999</v>
      </c>
      <c r="K21" s="29">
        <v>49153.54</v>
      </c>
      <c r="L21" s="29">
        <v>31384.04</v>
      </c>
      <c r="M21" s="29">
        <v>28441.54</v>
      </c>
      <c r="N21" s="30">
        <f>B21</f>
        <v>81407.09</v>
      </c>
      <c r="O21" s="7"/>
      <c r="P21" s="2" t="s">
        <v>22</v>
      </c>
      <c r="Q21" s="36">
        <v>155</v>
      </c>
    </row>
    <row r="22" spans="1:22" outlineLevel="1">
      <c r="A22" s="9" t="s">
        <v>14</v>
      </c>
      <c r="B22" s="10">
        <v>34271.69</v>
      </c>
      <c r="C22" s="10">
        <v>34890.870000000003</v>
      </c>
      <c r="D22" s="10">
        <v>41732.379999999997</v>
      </c>
      <c r="E22" s="10">
        <v>39994.480000000003</v>
      </c>
      <c r="F22" s="10">
        <v>35400.339999999997</v>
      </c>
      <c r="G22" s="10">
        <v>31451.200000000001</v>
      </c>
      <c r="H22" s="10">
        <v>42124.31</v>
      </c>
      <c r="I22" s="10">
        <v>32459.61</v>
      </c>
      <c r="J22" s="10">
        <v>35034.06</v>
      </c>
      <c r="K22" s="10">
        <v>41125.040000000001</v>
      </c>
      <c r="L22" s="10">
        <v>31080.33</v>
      </c>
      <c r="M22" s="10">
        <v>40260.74</v>
      </c>
      <c r="N22" s="30">
        <f>SUM(B22:M22)</f>
        <v>439825.05</v>
      </c>
      <c r="O22" s="7"/>
      <c r="P22" s="2" t="s">
        <v>23</v>
      </c>
      <c r="Q22" s="36">
        <v>-5496.5</v>
      </c>
    </row>
    <row r="23" spans="1:22" ht="12.75" outlineLevel="1">
      <c r="A23" s="9" t="s">
        <v>74</v>
      </c>
      <c r="B23" s="10">
        <v>44289.69</v>
      </c>
      <c r="C23" s="10">
        <v>43155.87</v>
      </c>
      <c r="D23" s="10">
        <v>50179.21</v>
      </c>
      <c r="E23" s="10">
        <v>35017.480000000003</v>
      </c>
      <c r="F23" s="10">
        <v>31216.51</v>
      </c>
      <c r="G23" s="10">
        <v>34090.199999999997</v>
      </c>
      <c r="H23" s="10">
        <v>45349.31</v>
      </c>
      <c r="I23" s="10">
        <v>38281.06</v>
      </c>
      <c r="J23" s="10">
        <v>38033.129999999997</v>
      </c>
      <c r="K23" s="10">
        <v>58894.54</v>
      </c>
      <c r="L23" s="10">
        <v>34022.83</v>
      </c>
      <c r="M23" s="10">
        <v>39853.24</v>
      </c>
      <c r="N23" s="30">
        <f>SUM(B23:M23)</f>
        <v>492383.07</v>
      </c>
      <c r="O23" s="7"/>
      <c r="P23" s="37" t="s">
        <v>40</v>
      </c>
      <c r="Q23" s="36"/>
    </row>
    <row r="24" spans="1:22" ht="25.5" customHeight="1" outlineLevel="1">
      <c r="A24" s="3" t="s">
        <v>13</v>
      </c>
      <c r="B24" s="31">
        <f t="shared" ref="B24:M24" si="2">B21+B22-B23</f>
        <v>71389.09</v>
      </c>
      <c r="C24" s="31">
        <f t="shared" si="2"/>
        <v>63124.089999999989</v>
      </c>
      <c r="D24" s="31">
        <f t="shared" si="2"/>
        <v>54677.26</v>
      </c>
      <c r="E24" s="31">
        <f t="shared" si="2"/>
        <v>59654.26</v>
      </c>
      <c r="F24" s="31">
        <f t="shared" si="2"/>
        <v>63838.090000000011</v>
      </c>
      <c r="G24" s="31">
        <f t="shared" si="2"/>
        <v>61199.09</v>
      </c>
      <c r="H24" s="31">
        <f t="shared" si="2"/>
        <v>57974.09</v>
      </c>
      <c r="I24" s="31">
        <f t="shared" si="2"/>
        <v>52152.639999999999</v>
      </c>
      <c r="J24" s="31">
        <f t="shared" si="2"/>
        <v>49153.57</v>
      </c>
      <c r="K24" s="31">
        <f t="shared" si="2"/>
        <v>31384.04</v>
      </c>
      <c r="L24" s="31">
        <f t="shared" si="2"/>
        <v>28441.54</v>
      </c>
      <c r="M24" s="31">
        <f t="shared" si="2"/>
        <v>28849.040000000001</v>
      </c>
      <c r="N24" s="30">
        <f>M24</f>
        <v>28849.040000000001</v>
      </c>
      <c r="O24" s="7"/>
      <c r="P24" s="37" t="s">
        <v>41</v>
      </c>
      <c r="Q24" s="36"/>
      <c r="R24" s="321" t="s">
        <v>208</v>
      </c>
      <c r="S24" s="322"/>
      <c r="T24" s="322"/>
      <c r="U24" s="322"/>
      <c r="V24" s="322"/>
    </row>
    <row r="25" spans="1:22" outlineLevel="1">
      <c r="A25" s="3"/>
      <c r="B25" s="2"/>
      <c r="C25" s="2"/>
      <c r="D25" s="2"/>
      <c r="E25" s="2"/>
      <c r="F25" s="2"/>
      <c r="G25" s="2"/>
      <c r="H25" s="2"/>
      <c r="I25" s="2"/>
      <c r="J25" s="2"/>
      <c r="K25" s="2"/>
      <c r="L25" s="2"/>
      <c r="M25" s="2"/>
      <c r="N25" s="11"/>
      <c r="O25" s="7"/>
      <c r="P25" s="37" t="s">
        <v>46</v>
      </c>
      <c r="Q25" s="38">
        <f>N24+SUM(Q21:Q24)</f>
        <v>23507.54</v>
      </c>
      <c r="R25" s="321"/>
      <c r="S25" s="322"/>
      <c r="T25" s="322"/>
      <c r="U25" s="322"/>
      <c r="V25" s="322"/>
    </row>
    <row r="26" spans="1:22" outlineLevel="1">
      <c r="A26" s="3" t="s">
        <v>32</v>
      </c>
      <c r="B26" s="10">
        <v>0</v>
      </c>
      <c r="C26" s="10">
        <v>0</v>
      </c>
      <c r="D26" s="10">
        <v>0</v>
      </c>
      <c r="E26" s="10">
        <v>0</v>
      </c>
      <c r="F26" s="10">
        <v>0</v>
      </c>
      <c r="G26" s="10">
        <v>0</v>
      </c>
      <c r="H26" s="10">
        <v>0</v>
      </c>
      <c r="I26" s="10">
        <v>0</v>
      </c>
      <c r="J26" s="10">
        <v>0</v>
      </c>
      <c r="K26" s="10">
        <v>0</v>
      </c>
      <c r="L26" s="10">
        <v>0</v>
      </c>
      <c r="M26" s="10">
        <v>0</v>
      </c>
      <c r="N26" s="30">
        <f>SUM(B26:M26)</f>
        <v>0</v>
      </c>
      <c r="O26" s="7"/>
    </row>
    <row r="27" spans="1:22" outlineLevel="1">
      <c r="A27" s="3" t="s">
        <v>31</v>
      </c>
      <c r="B27" s="10">
        <v>40539.69</v>
      </c>
      <c r="C27" s="10">
        <v>39055.870000000003</v>
      </c>
      <c r="D27" s="10">
        <v>41625.21</v>
      </c>
      <c r="E27" s="10">
        <v>31797.48</v>
      </c>
      <c r="F27" s="10">
        <v>29625.34</v>
      </c>
      <c r="G27" s="10">
        <v>29190.2</v>
      </c>
      <c r="H27" s="10">
        <v>42799.31</v>
      </c>
      <c r="I27" s="10">
        <v>35468.879999999997</v>
      </c>
      <c r="J27" s="10">
        <v>33794.06</v>
      </c>
      <c r="K27" s="10">
        <v>34101.040000000001</v>
      </c>
      <c r="L27" s="10">
        <v>30152.83</v>
      </c>
      <c r="M27" s="10">
        <v>35805.39</v>
      </c>
      <c r="N27" s="30">
        <f>SUM(B27:M27)</f>
        <v>423955.3</v>
      </c>
      <c r="O27" s="7"/>
    </row>
    <row r="28" spans="1:22" outlineLevel="1">
      <c r="B28" s="2"/>
      <c r="C28" s="2"/>
      <c r="D28" s="2"/>
      <c r="E28" s="2"/>
      <c r="F28" s="2"/>
      <c r="G28" s="2"/>
      <c r="H28" s="2"/>
      <c r="I28" s="2"/>
      <c r="J28" s="2"/>
      <c r="K28" s="2"/>
      <c r="L28" s="2"/>
      <c r="M28" s="2"/>
      <c r="N28" s="4"/>
      <c r="O28" s="7"/>
    </row>
    <row r="29" spans="1:22">
      <c r="A29" s="20" t="s">
        <v>200</v>
      </c>
      <c r="B29" s="21"/>
      <c r="C29" s="21"/>
      <c r="D29" s="21"/>
      <c r="E29" s="21"/>
      <c r="F29" s="21"/>
      <c r="G29" s="21"/>
      <c r="H29" s="21"/>
      <c r="I29" s="21"/>
      <c r="J29" s="21"/>
      <c r="K29" s="21"/>
      <c r="L29" s="21"/>
      <c r="M29" s="21"/>
      <c r="N29" s="22"/>
      <c r="O29" s="6"/>
      <c r="P29" s="323" t="str">
        <f>A29</f>
        <v>LGIP</v>
      </c>
      <c r="Q29" s="324"/>
    </row>
    <row r="30" spans="1:22" outlineLevel="1">
      <c r="A30" s="1" t="s">
        <v>12</v>
      </c>
      <c r="B30" s="10">
        <v>34564028.57</v>
      </c>
      <c r="C30" s="29">
        <v>32740130.77</v>
      </c>
      <c r="D30" s="29">
        <v>33438971.640000001</v>
      </c>
      <c r="E30" s="29">
        <v>34146244.609999999</v>
      </c>
      <c r="F30" s="29">
        <v>35333219.100000001</v>
      </c>
      <c r="G30" s="29">
        <v>36345636.609999999</v>
      </c>
      <c r="H30" s="29">
        <v>34952754.909999996</v>
      </c>
      <c r="I30" s="29">
        <v>35743844.880000003</v>
      </c>
      <c r="J30" s="29">
        <v>36673565.93</v>
      </c>
      <c r="K30" s="29">
        <v>38238176.68</v>
      </c>
      <c r="L30" s="29">
        <v>37625277.049999997</v>
      </c>
      <c r="M30" s="29">
        <v>36389665.130000003</v>
      </c>
      <c r="N30" s="30">
        <f>B30</f>
        <v>34564028.57</v>
      </c>
      <c r="O30" s="7"/>
      <c r="P30" s="2" t="s">
        <v>22</v>
      </c>
      <c r="Q30" s="36"/>
    </row>
    <row r="31" spans="1:22" outlineLevel="1">
      <c r="A31" s="9" t="s">
        <v>14</v>
      </c>
      <c r="B31" s="10">
        <f>553073.3+123225.14</f>
        <v>676298.44000000006</v>
      </c>
      <c r="C31" s="10">
        <f>582991.25+116030.91</f>
        <v>699022.16</v>
      </c>
      <c r="D31" s="10">
        <f>572060.39+135402.65</f>
        <v>707463.04</v>
      </c>
      <c r="E31" s="10">
        <f>1048043.73+139084.57</f>
        <v>1187128.3</v>
      </c>
      <c r="F31" s="10">
        <f>857736.16+154809.1</f>
        <v>1012545.26</v>
      </c>
      <c r="G31" s="10">
        <f>605752.78+151457.28</f>
        <v>757210.06</v>
      </c>
      <c r="H31" s="10">
        <f>635496.69+155782.09</f>
        <v>791278.77999999991</v>
      </c>
      <c r="I31" s="10">
        <f>767476.17+162440.27</f>
        <v>929916.44000000006</v>
      </c>
      <c r="J31" s="10">
        <f>1400079.93+164730.22</f>
        <v>1564810.15</v>
      </c>
      <c r="K31" s="10">
        <f>715170.45+172134.16</f>
        <v>887304.61</v>
      </c>
      <c r="L31" s="10">
        <f>604854.67+159693.74</f>
        <v>764548.41</v>
      </c>
      <c r="M31" s="10">
        <f>601478.75+159622.93</f>
        <v>761101.67999999993</v>
      </c>
      <c r="N31" s="30">
        <f>SUM(B31:M31)</f>
        <v>10738627.33</v>
      </c>
      <c r="O31" s="7"/>
      <c r="P31" s="2" t="s">
        <v>23</v>
      </c>
      <c r="Q31" s="36"/>
    </row>
    <row r="32" spans="1:22" outlineLevel="1">
      <c r="A32" s="9" t="s">
        <v>74</v>
      </c>
      <c r="B32" s="10">
        <f>2500000+196.24</f>
        <v>2500196.2400000002</v>
      </c>
      <c r="C32" s="10">
        <v>181.29</v>
      </c>
      <c r="D32" s="10">
        <v>190.07</v>
      </c>
      <c r="E32" s="10">
        <v>153.81</v>
      </c>
      <c r="F32" s="10">
        <v>127.75</v>
      </c>
      <c r="G32" s="10">
        <f>2150091.76</f>
        <v>2150091.7599999998</v>
      </c>
      <c r="H32" s="10">
        <v>188.81</v>
      </c>
      <c r="I32" s="10">
        <v>195.39</v>
      </c>
      <c r="J32" s="10">
        <v>199.4</v>
      </c>
      <c r="K32" s="10">
        <f>1500000+204.24</f>
        <v>1500204.24</v>
      </c>
      <c r="L32" s="10">
        <f>2000000+160.33</f>
        <v>2000160.33</v>
      </c>
      <c r="M32" s="10">
        <f>3000000+170.25</f>
        <v>3000170.25</v>
      </c>
      <c r="N32" s="30">
        <f>SUM(B32:M32)</f>
        <v>11152059.34</v>
      </c>
      <c r="O32" s="7"/>
      <c r="P32" s="2" t="s">
        <v>23</v>
      </c>
      <c r="Q32" s="36"/>
    </row>
    <row r="33" spans="1:17" ht="12.75" outlineLevel="1">
      <c r="A33" s="3" t="s">
        <v>13</v>
      </c>
      <c r="B33" s="31">
        <f>B30+B31-B32</f>
        <v>32740130.769999996</v>
      </c>
      <c r="C33" s="31">
        <f t="shared" ref="C33:M33" si="3">C30+C31-C32</f>
        <v>33438971.640000001</v>
      </c>
      <c r="D33" s="31">
        <f t="shared" si="3"/>
        <v>34146244.609999999</v>
      </c>
      <c r="E33" s="31">
        <f t="shared" si="3"/>
        <v>35333219.099999994</v>
      </c>
      <c r="F33" s="31">
        <f t="shared" si="3"/>
        <v>36345636.609999999</v>
      </c>
      <c r="G33" s="31">
        <f t="shared" si="3"/>
        <v>34952754.910000004</v>
      </c>
      <c r="H33" s="31">
        <f t="shared" si="3"/>
        <v>35743844.879999995</v>
      </c>
      <c r="I33" s="31">
        <f t="shared" si="3"/>
        <v>36673565.93</v>
      </c>
      <c r="J33" s="31">
        <f t="shared" si="3"/>
        <v>38238176.68</v>
      </c>
      <c r="K33" s="31">
        <f t="shared" si="3"/>
        <v>37625277.049999997</v>
      </c>
      <c r="L33" s="31">
        <f t="shared" si="3"/>
        <v>36389665.129999995</v>
      </c>
      <c r="M33" s="31">
        <f t="shared" si="3"/>
        <v>34150596.560000002</v>
      </c>
      <c r="N33" s="30">
        <f>M33</f>
        <v>34150596.560000002</v>
      </c>
      <c r="O33" s="7"/>
      <c r="P33" s="37" t="s">
        <v>41</v>
      </c>
      <c r="Q33" s="36"/>
    </row>
    <row r="34" spans="1:17" outlineLevel="1">
      <c r="A34" s="3"/>
      <c r="B34" s="2"/>
      <c r="C34" s="2"/>
      <c r="D34" s="2"/>
      <c r="E34" s="2"/>
      <c r="F34" s="2"/>
      <c r="G34" s="2"/>
      <c r="H34" s="2"/>
      <c r="I34" s="2"/>
      <c r="J34" s="2"/>
      <c r="K34" s="2"/>
      <c r="L34" s="2"/>
      <c r="M34" s="2"/>
      <c r="N34" s="11"/>
      <c r="O34" s="7"/>
      <c r="P34" s="37" t="s">
        <v>46</v>
      </c>
      <c r="Q34" s="38">
        <f>N33+SUM(Q30:Q33)</f>
        <v>34150596.560000002</v>
      </c>
    </row>
    <row r="35" spans="1:17" outlineLevel="1">
      <c r="A35" s="3" t="s">
        <v>32</v>
      </c>
      <c r="B35" s="10">
        <v>0</v>
      </c>
      <c r="C35" s="10">
        <v>0</v>
      </c>
      <c r="D35" s="10">
        <v>0</v>
      </c>
      <c r="E35" s="10">
        <v>500000</v>
      </c>
      <c r="F35" s="10">
        <v>0</v>
      </c>
      <c r="G35" s="10">
        <v>0</v>
      </c>
      <c r="H35" s="10">
        <v>0</v>
      </c>
      <c r="I35" s="10">
        <v>0</v>
      </c>
      <c r="J35" s="10">
        <v>750000</v>
      </c>
      <c r="K35" s="10">
        <v>0</v>
      </c>
      <c r="L35" s="10">
        <v>0</v>
      </c>
      <c r="M35" s="10">
        <v>0</v>
      </c>
      <c r="N35" s="30">
        <f>SUM(B35:M35)</f>
        <v>1250000</v>
      </c>
      <c r="O35" s="7"/>
    </row>
    <row r="36" spans="1:17" outlineLevel="1">
      <c r="A36" s="3" t="s">
        <v>31</v>
      </c>
      <c r="B36" s="10">
        <v>2500000</v>
      </c>
      <c r="C36" s="10">
        <v>0</v>
      </c>
      <c r="D36" s="10">
        <v>0</v>
      </c>
      <c r="E36" s="10">
        <v>0</v>
      </c>
      <c r="F36" s="10">
        <v>0</v>
      </c>
      <c r="G36" s="10">
        <v>2150000</v>
      </c>
      <c r="H36" s="10">
        <v>0</v>
      </c>
      <c r="I36" s="10">
        <v>0</v>
      </c>
      <c r="J36" s="10">
        <v>0</v>
      </c>
      <c r="K36" s="10">
        <f>1000000+500000</f>
        <v>1500000</v>
      </c>
      <c r="L36" s="10">
        <v>2000000</v>
      </c>
      <c r="M36" s="10">
        <f>2000000+1000000</f>
        <v>3000000</v>
      </c>
      <c r="N36" s="30">
        <f>SUM(B36:M36)</f>
        <v>11150000</v>
      </c>
      <c r="O36" s="7"/>
    </row>
    <row r="37" spans="1:17" outlineLevel="1">
      <c r="B37" s="2"/>
      <c r="C37" s="2"/>
      <c r="D37" s="2"/>
      <c r="E37" s="2"/>
      <c r="F37" s="2"/>
      <c r="G37" s="2"/>
      <c r="H37" s="2"/>
      <c r="I37" s="2"/>
      <c r="J37" s="2"/>
      <c r="K37" s="2"/>
      <c r="L37" s="2"/>
      <c r="M37" s="2"/>
      <c r="N37" s="4"/>
      <c r="O37" s="7"/>
    </row>
    <row r="38" spans="1:17">
      <c r="A38" s="20" t="s">
        <v>202</v>
      </c>
      <c r="B38" s="21"/>
      <c r="C38" s="21"/>
      <c r="D38" s="21"/>
      <c r="E38" s="21"/>
      <c r="F38" s="21"/>
      <c r="G38" s="21"/>
      <c r="H38" s="21"/>
      <c r="I38" s="21"/>
      <c r="J38" s="21"/>
      <c r="K38" s="21"/>
      <c r="L38" s="21"/>
      <c r="M38" s="21"/>
      <c r="N38" s="22"/>
      <c r="O38" s="6"/>
      <c r="P38" s="323" t="str">
        <f>A38</f>
        <v>US Bank Bond 2510</v>
      </c>
      <c r="Q38" s="324"/>
    </row>
    <row r="39" spans="1:17" outlineLevel="1">
      <c r="A39" s="1" t="s">
        <v>12</v>
      </c>
      <c r="B39" s="10">
        <v>72732.479999999996</v>
      </c>
      <c r="C39" s="29">
        <v>19666.32</v>
      </c>
      <c r="D39" s="29">
        <v>91426.64</v>
      </c>
      <c r="E39" s="29">
        <v>121997.02</v>
      </c>
      <c r="F39" s="29">
        <v>135758.44</v>
      </c>
      <c r="G39" s="29">
        <v>149622.70000000001</v>
      </c>
      <c r="H39" s="29">
        <v>60832.05</v>
      </c>
      <c r="I39" s="29">
        <v>76925.45</v>
      </c>
      <c r="J39" s="29">
        <v>149579.68</v>
      </c>
      <c r="K39" s="29">
        <v>15715.15</v>
      </c>
      <c r="L39" s="29">
        <v>32419.77</v>
      </c>
      <c r="M39" s="29">
        <v>46267.040000000001</v>
      </c>
      <c r="N39" s="30">
        <f>B39</f>
        <v>72732.479999999996</v>
      </c>
      <c r="O39" s="7"/>
      <c r="P39" s="2" t="s">
        <v>22</v>
      </c>
      <c r="Q39" s="36"/>
    </row>
    <row r="40" spans="1:17" outlineLevel="1">
      <c r="A40" s="9" t="s">
        <v>14</v>
      </c>
      <c r="B40" s="10">
        <v>2035004.35</v>
      </c>
      <c r="C40" s="10">
        <v>71856.320000000007</v>
      </c>
      <c r="D40" s="10">
        <v>30624.38</v>
      </c>
      <c r="E40" s="10">
        <v>13815.42</v>
      </c>
      <c r="F40" s="10">
        <v>13918.26</v>
      </c>
      <c r="G40" s="10">
        <v>3236683.72</v>
      </c>
      <c r="H40" s="10">
        <v>16259.4</v>
      </c>
      <c r="I40" s="10">
        <v>72710.23</v>
      </c>
      <c r="J40" s="10">
        <v>1527623.16</v>
      </c>
      <c r="K40" s="10">
        <v>16802.62</v>
      </c>
      <c r="L40" s="10">
        <v>13903.27</v>
      </c>
      <c r="M40" s="10">
        <v>81082.559999999998</v>
      </c>
      <c r="N40" s="30">
        <f>SUM(B40:M40)</f>
        <v>7130283.6899999995</v>
      </c>
      <c r="O40" s="7"/>
      <c r="P40" s="2" t="s">
        <v>23</v>
      </c>
      <c r="Q40" s="36"/>
    </row>
    <row r="41" spans="1:17" ht="12.75" outlineLevel="1">
      <c r="A41" s="9" t="s">
        <v>74</v>
      </c>
      <c r="B41" s="10">
        <v>2088070.51</v>
      </c>
      <c r="C41" s="10">
        <v>96</v>
      </c>
      <c r="D41" s="10">
        <v>54</v>
      </c>
      <c r="E41" s="10">
        <v>54</v>
      </c>
      <c r="F41" s="10">
        <v>54</v>
      </c>
      <c r="G41" s="10">
        <v>3325474.37</v>
      </c>
      <c r="H41" s="10">
        <v>166</v>
      </c>
      <c r="I41" s="10">
        <v>56</v>
      </c>
      <c r="J41" s="10">
        <v>1661487.69</v>
      </c>
      <c r="K41" s="10">
        <v>96</v>
      </c>
      <c r="L41" s="10">
        <v>56</v>
      </c>
      <c r="M41" s="10">
        <v>56</v>
      </c>
      <c r="N41" s="30">
        <f>SUM(B41:M41)</f>
        <v>7075720.5700000003</v>
      </c>
      <c r="O41" s="7"/>
      <c r="P41" s="37" t="s">
        <v>40</v>
      </c>
      <c r="Q41" s="36"/>
    </row>
    <row r="42" spans="1:17" ht="12.75" outlineLevel="1">
      <c r="A42" s="3" t="s">
        <v>13</v>
      </c>
      <c r="B42" s="31">
        <f t="shared" ref="B42:M42" si="4">B39+B40-B41</f>
        <v>19666.320000000065</v>
      </c>
      <c r="C42" s="31">
        <f t="shared" si="4"/>
        <v>91426.640000000014</v>
      </c>
      <c r="D42" s="31">
        <f t="shared" si="4"/>
        <v>121997.02</v>
      </c>
      <c r="E42" s="31">
        <f t="shared" si="4"/>
        <v>135758.44</v>
      </c>
      <c r="F42" s="31">
        <f t="shared" si="4"/>
        <v>149622.70000000001</v>
      </c>
      <c r="G42" s="31">
        <f t="shared" si="4"/>
        <v>60832.050000000279</v>
      </c>
      <c r="H42" s="31">
        <f t="shared" si="4"/>
        <v>76925.45</v>
      </c>
      <c r="I42" s="31">
        <f t="shared" si="4"/>
        <v>149579.68</v>
      </c>
      <c r="J42" s="31">
        <f t="shared" si="4"/>
        <v>15715.149999999907</v>
      </c>
      <c r="K42" s="31">
        <f t="shared" si="4"/>
        <v>32421.769999999997</v>
      </c>
      <c r="L42" s="31">
        <f t="shared" si="4"/>
        <v>46267.040000000001</v>
      </c>
      <c r="M42" s="31">
        <f t="shared" si="4"/>
        <v>127293.6</v>
      </c>
      <c r="N42" s="30">
        <f>M42</f>
        <v>127293.6</v>
      </c>
      <c r="O42" s="7"/>
      <c r="P42" s="37" t="s">
        <v>41</v>
      </c>
      <c r="Q42" s="36"/>
    </row>
    <row r="43" spans="1:17" outlineLevel="1">
      <c r="A43" s="3"/>
      <c r="B43" s="2"/>
      <c r="C43" s="2"/>
      <c r="D43" s="2"/>
      <c r="E43" s="2"/>
      <c r="F43" s="2"/>
      <c r="G43" s="2"/>
      <c r="H43" s="2"/>
      <c r="I43" s="2"/>
      <c r="J43" s="2"/>
      <c r="K43" s="2"/>
      <c r="L43" s="2"/>
      <c r="M43" s="2"/>
      <c r="N43" s="11"/>
      <c r="O43" s="7"/>
      <c r="P43" s="37" t="s">
        <v>46</v>
      </c>
      <c r="Q43" s="38">
        <f>N42+SUM(Q39:Q42)</f>
        <v>127293.6</v>
      </c>
    </row>
    <row r="44" spans="1:17" outlineLevel="1">
      <c r="A44" s="3" t="s">
        <v>32</v>
      </c>
      <c r="B44" s="10">
        <v>2000000</v>
      </c>
      <c r="C44" s="10">
        <v>0</v>
      </c>
      <c r="D44" s="10">
        <v>0</v>
      </c>
      <c r="E44" s="10">
        <v>0</v>
      </c>
      <c r="F44" s="10">
        <v>0</v>
      </c>
      <c r="G44" s="10">
        <f>1150000+2000000</f>
        <v>3150000</v>
      </c>
      <c r="H44" s="10">
        <v>0</v>
      </c>
      <c r="I44" s="10">
        <v>0</v>
      </c>
      <c r="J44" s="10">
        <v>1500000</v>
      </c>
      <c r="K44" s="10">
        <v>0</v>
      </c>
      <c r="L44" s="10">
        <v>0</v>
      </c>
      <c r="M44" s="10">
        <v>0</v>
      </c>
      <c r="N44" s="30">
        <f>SUM(B44:M44)</f>
        <v>6650000</v>
      </c>
      <c r="O44" s="7"/>
    </row>
    <row r="45" spans="1:17" outlineLevel="1">
      <c r="A45" s="3" t="s">
        <v>31</v>
      </c>
      <c r="B45" s="10">
        <v>2088017.51</v>
      </c>
      <c r="C45" s="10">
        <v>0</v>
      </c>
      <c r="D45" s="10">
        <v>0</v>
      </c>
      <c r="E45" s="10">
        <v>0</v>
      </c>
      <c r="F45" s="10">
        <v>0</v>
      </c>
      <c r="G45" s="10">
        <f>1004042.28+2321378.09</f>
        <v>3325420.37</v>
      </c>
      <c r="H45" s="10">
        <v>0</v>
      </c>
      <c r="I45" s="10">
        <v>0</v>
      </c>
      <c r="J45" s="10">
        <v>0</v>
      </c>
      <c r="K45" s="10">
        <v>0</v>
      </c>
      <c r="L45" s="10">
        <v>0</v>
      </c>
      <c r="M45" s="10">
        <v>0</v>
      </c>
      <c r="N45" s="30">
        <f>SUM(B45:M45)</f>
        <v>5413437.8799999999</v>
      </c>
      <c r="O45" s="7"/>
    </row>
    <row r="46" spans="1:17" outlineLevel="1">
      <c r="B46" s="2"/>
      <c r="C46" s="2"/>
      <c r="D46" s="2"/>
      <c r="E46" s="2"/>
      <c r="F46" s="2"/>
      <c r="G46" s="2"/>
      <c r="H46" s="2"/>
      <c r="I46" s="2"/>
      <c r="J46" s="2"/>
      <c r="K46" s="2"/>
      <c r="L46" s="2"/>
      <c r="M46" s="2"/>
      <c r="N46" s="4"/>
      <c r="O46" s="7"/>
    </row>
    <row r="47" spans="1:17">
      <c r="A47" s="20" t="s">
        <v>203</v>
      </c>
      <c r="B47" s="21"/>
      <c r="C47" s="21"/>
      <c r="D47" s="21"/>
      <c r="E47" s="21"/>
      <c r="F47" s="21"/>
      <c r="G47" s="21"/>
      <c r="H47" s="21"/>
      <c r="I47" s="21"/>
      <c r="J47" s="21"/>
      <c r="K47" s="21"/>
      <c r="L47" s="21"/>
      <c r="M47" s="21"/>
      <c r="N47" s="22"/>
      <c r="O47" s="6"/>
      <c r="P47" s="323" t="str">
        <f>A47</f>
        <v>US Bank Bond 009</v>
      </c>
      <c r="Q47" s="324"/>
    </row>
    <row r="48" spans="1:17" outlineLevel="1">
      <c r="A48" s="1" t="s">
        <v>12</v>
      </c>
      <c r="B48" s="10">
        <v>27703352.329999998</v>
      </c>
      <c r="C48" s="29">
        <v>27755371.789999999</v>
      </c>
      <c r="D48" s="29">
        <v>27755371.789999999</v>
      </c>
      <c r="E48" s="29">
        <v>27755371.789999999</v>
      </c>
      <c r="F48" s="29">
        <v>27755371.789999999</v>
      </c>
      <c r="G48" s="29">
        <v>27755371.789999999</v>
      </c>
      <c r="H48" s="29">
        <v>28977708.989999998</v>
      </c>
      <c r="I48" s="29">
        <v>28977708.989999998</v>
      </c>
      <c r="J48" s="29">
        <v>28977708.989999998</v>
      </c>
      <c r="K48" s="29">
        <v>29076432.920000002</v>
      </c>
      <c r="L48" s="29">
        <v>29076432.920000002</v>
      </c>
      <c r="M48" s="29">
        <v>29076432.920000002</v>
      </c>
      <c r="N48" s="30">
        <f>B48</f>
        <v>27703352.329999998</v>
      </c>
      <c r="O48" s="7"/>
      <c r="P48" s="2" t="s">
        <v>22</v>
      </c>
      <c r="Q48" s="36"/>
    </row>
    <row r="49" spans="1:22" outlineLevel="1">
      <c r="A49" s="9" t="s">
        <v>14</v>
      </c>
      <c r="B49" s="10">
        <v>52019.45</v>
      </c>
      <c r="C49" s="10"/>
      <c r="D49" s="10"/>
      <c r="E49" s="10"/>
      <c r="F49" s="10"/>
      <c r="G49" s="10">
        <f>H48-G48</f>
        <v>1222337.1999999993</v>
      </c>
      <c r="H49" s="10"/>
      <c r="I49" s="10"/>
      <c r="J49" s="10">
        <f>K48-J48</f>
        <v>98723.930000003427</v>
      </c>
      <c r="K49" s="10"/>
      <c r="L49" s="10"/>
      <c r="M49" s="10"/>
      <c r="N49" s="30">
        <f>SUM(B49:M49)</f>
        <v>1373080.5800000026</v>
      </c>
      <c r="O49" s="7"/>
      <c r="P49" s="2" t="s">
        <v>23</v>
      </c>
      <c r="Q49" s="36"/>
    </row>
    <row r="50" spans="1:22" ht="12.75" outlineLevel="1">
      <c r="A50" s="9" t="s">
        <v>74</v>
      </c>
      <c r="B50" s="10"/>
      <c r="C50" s="10"/>
      <c r="D50" s="10"/>
      <c r="E50" s="10"/>
      <c r="F50" s="10"/>
      <c r="G50" s="10"/>
      <c r="H50" s="10"/>
      <c r="I50" s="10"/>
      <c r="J50" s="10"/>
      <c r="K50" s="10"/>
      <c r="L50" s="10"/>
      <c r="M50" s="10"/>
      <c r="N50" s="30">
        <f>SUM(B50:M50)</f>
        <v>0</v>
      </c>
      <c r="O50" s="7"/>
      <c r="P50" s="37" t="s">
        <v>40</v>
      </c>
      <c r="Q50" s="36"/>
    </row>
    <row r="51" spans="1:22" ht="25.5" customHeight="1" outlineLevel="1">
      <c r="A51" s="3" t="s">
        <v>13</v>
      </c>
      <c r="B51" s="31">
        <f t="shared" ref="B51:M51" si="5">B48+B49-B50</f>
        <v>27755371.779999997</v>
      </c>
      <c r="C51" s="31">
        <f t="shared" si="5"/>
        <v>27755371.789999999</v>
      </c>
      <c r="D51" s="31">
        <f t="shared" si="5"/>
        <v>27755371.789999999</v>
      </c>
      <c r="E51" s="31">
        <f t="shared" si="5"/>
        <v>27755371.789999999</v>
      </c>
      <c r="F51" s="31">
        <f t="shared" si="5"/>
        <v>27755371.789999999</v>
      </c>
      <c r="G51" s="31">
        <f t="shared" si="5"/>
        <v>28977708.989999998</v>
      </c>
      <c r="H51" s="31">
        <f t="shared" si="5"/>
        <v>28977708.989999998</v>
      </c>
      <c r="I51" s="31">
        <f t="shared" si="5"/>
        <v>28977708.989999998</v>
      </c>
      <c r="J51" s="31">
        <f t="shared" si="5"/>
        <v>29076432.920000002</v>
      </c>
      <c r="K51" s="31">
        <f t="shared" si="5"/>
        <v>29076432.920000002</v>
      </c>
      <c r="L51" s="31">
        <f t="shared" si="5"/>
        <v>29076432.920000002</v>
      </c>
      <c r="M51" s="31">
        <f t="shared" si="5"/>
        <v>29076432.920000002</v>
      </c>
      <c r="N51" s="30">
        <f>M51</f>
        <v>29076432.920000002</v>
      </c>
      <c r="O51" s="7"/>
      <c r="P51" s="37" t="s">
        <v>41</v>
      </c>
      <c r="Q51" s="36"/>
      <c r="R51" s="321" t="s">
        <v>209</v>
      </c>
      <c r="S51" s="322"/>
      <c r="T51" s="322"/>
      <c r="U51" s="322"/>
      <c r="V51" s="322"/>
    </row>
    <row r="52" spans="1:22" ht="27" customHeight="1" outlineLevel="1">
      <c r="A52" s="3"/>
      <c r="B52" s="2"/>
      <c r="C52" s="2"/>
      <c r="D52" s="2"/>
      <c r="E52" s="2"/>
      <c r="F52" s="2"/>
      <c r="G52" s="2"/>
      <c r="H52" s="2"/>
      <c r="I52" s="2"/>
      <c r="J52" s="2"/>
      <c r="K52" s="2"/>
      <c r="L52" s="2"/>
      <c r="M52" s="2"/>
      <c r="N52" s="11"/>
      <c r="O52" s="7"/>
      <c r="P52" s="37" t="s">
        <v>46</v>
      </c>
      <c r="Q52" s="38">
        <f>N51+SUM(Q48:Q51)</f>
        <v>29076432.920000002</v>
      </c>
      <c r="R52" s="321"/>
      <c r="S52" s="322"/>
      <c r="T52" s="322"/>
      <c r="U52" s="322"/>
      <c r="V52" s="322"/>
    </row>
    <row r="53" spans="1:22" outlineLevel="1">
      <c r="A53" s="3" t="s">
        <v>32</v>
      </c>
      <c r="B53" s="10">
        <f>B45</f>
        <v>2088017.51</v>
      </c>
      <c r="C53" s="10">
        <f t="shared" ref="C53:M53" si="6">C45</f>
        <v>0</v>
      </c>
      <c r="D53" s="10">
        <f t="shared" si="6"/>
        <v>0</v>
      </c>
      <c r="E53" s="10">
        <f t="shared" si="6"/>
        <v>0</v>
      </c>
      <c r="F53" s="10">
        <f t="shared" si="6"/>
        <v>0</v>
      </c>
      <c r="G53" s="10">
        <f t="shared" si="6"/>
        <v>3325420.37</v>
      </c>
      <c r="H53" s="10">
        <f t="shared" si="6"/>
        <v>0</v>
      </c>
      <c r="I53" s="10">
        <f t="shared" si="6"/>
        <v>0</v>
      </c>
      <c r="J53" s="10">
        <v>1661431.69</v>
      </c>
      <c r="K53" s="10">
        <f t="shared" si="6"/>
        <v>0</v>
      </c>
      <c r="L53" s="10">
        <f t="shared" si="6"/>
        <v>0</v>
      </c>
      <c r="M53" s="10">
        <f t="shared" si="6"/>
        <v>0</v>
      </c>
      <c r="N53" s="30">
        <f>SUM(B53:M53)</f>
        <v>7074869.5700000003</v>
      </c>
      <c r="O53" s="7"/>
    </row>
    <row r="54" spans="1:22" outlineLevel="1">
      <c r="A54" s="3" t="s">
        <v>31</v>
      </c>
      <c r="B54" s="10">
        <f>B44</f>
        <v>2000000</v>
      </c>
      <c r="C54" s="10">
        <f t="shared" ref="C54:M54" si="7">C44</f>
        <v>0</v>
      </c>
      <c r="D54" s="10">
        <f t="shared" si="7"/>
        <v>0</v>
      </c>
      <c r="E54" s="10">
        <f t="shared" si="7"/>
        <v>0</v>
      </c>
      <c r="F54" s="10">
        <f t="shared" si="7"/>
        <v>0</v>
      </c>
      <c r="G54" s="10">
        <v>2000000</v>
      </c>
      <c r="H54" s="10">
        <f t="shared" si="7"/>
        <v>0</v>
      </c>
      <c r="I54" s="10">
        <f t="shared" si="7"/>
        <v>0</v>
      </c>
      <c r="J54" s="10">
        <f t="shared" si="7"/>
        <v>1500000</v>
      </c>
      <c r="K54" s="10">
        <f t="shared" si="7"/>
        <v>0</v>
      </c>
      <c r="L54" s="10">
        <f t="shared" si="7"/>
        <v>0</v>
      </c>
      <c r="M54" s="10">
        <f t="shared" si="7"/>
        <v>0</v>
      </c>
      <c r="N54" s="30">
        <f>SUM(B54:M54)</f>
        <v>5500000</v>
      </c>
      <c r="O54" s="7"/>
    </row>
    <row r="55" spans="1:22" outlineLevel="1">
      <c r="B55" s="2"/>
      <c r="C55" s="2"/>
      <c r="D55" s="2"/>
      <c r="E55" s="2"/>
      <c r="F55" s="2"/>
      <c r="G55" s="2"/>
      <c r="H55" s="2"/>
      <c r="I55" s="2"/>
      <c r="J55" s="2"/>
      <c r="K55" s="2"/>
      <c r="L55" s="2"/>
      <c r="M55" s="2"/>
      <c r="N55" s="4"/>
      <c r="O55" s="7"/>
    </row>
    <row r="56" spans="1:22">
      <c r="A56" s="20" t="s">
        <v>204</v>
      </c>
      <c r="B56" s="21"/>
      <c r="C56" s="21"/>
      <c r="D56" s="21"/>
      <c r="E56" s="21"/>
      <c r="F56" s="21"/>
      <c r="G56" s="21"/>
      <c r="H56" s="21"/>
      <c r="I56" s="21"/>
      <c r="J56" s="21"/>
      <c r="K56" s="21"/>
      <c r="L56" s="21"/>
      <c r="M56" s="21"/>
      <c r="N56" s="22"/>
      <c r="O56" s="6"/>
      <c r="P56" s="323" t="str">
        <f>A56</f>
        <v>Warrant Clearing Account 8910</v>
      </c>
      <c r="Q56" s="324"/>
    </row>
    <row r="57" spans="1:22" outlineLevel="1">
      <c r="A57" s="1" t="s">
        <v>12</v>
      </c>
      <c r="B57" s="10">
        <v>0</v>
      </c>
      <c r="C57" s="29">
        <f t="shared" ref="C57:M57" si="8">B60</f>
        <v>0</v>
      </c>
      <c r="D57" s="29">
        <f t="shared" si="8"/>
        <v>0</v>
      </c>
      <c r="E57" s="29">
        <f t="shared" si="8"/>
        <v>0</v>
      </c>
      <c r="F57" s="29">
        <f t="shared" si="8"/>
        <v>0</v>
      </c>
      <c r="G57" s="29">
        <f t="shared" si="8"/>
        <v>0</v>
      </c>
      <c r="H57" s="29">
        <f t="shared" si="8"/>
        <v>0</v>
      </c>
      <c r="I57" s="29">
        <f t="shared" si="8"/>
        <v>0</v>
      </c>
      <c r="J57" s="29">
        <f t="shared" si="8"/>
        <v>0</v>
      </c>
      <c r="K57" s="29">
        <f t="shared" si="8"/>
        <v>0</v>
      </c>
      <c r="L57" s="29">
        <f t="shared" si="8"/>
        <v>0</v>
      </c>
      <c r="M57" s="29">
        <f t="shared" si="8"/>
        <v>0</v>
      </c>
      <c r="N57" s="30">
        <f>B57</f>
        <v>0</v>
      </c>
      <c r="O57" s="7"/>
      <c r="P57" s="2" t="s">
        <v>22</v>
      </c>
      <c r="Q57" s="36"/>
    </row>
    <row r="58" spans="1:22" outlineLevel="1">
      <c r="A58" s="9" t="s">
        <v>14</v>
      </c>
      <c r="B58" s="10">
        <v>4428668.8600000003</v>
      </c>
      <c r="C58" s="10">
        <v>1073785.21</v>
      </c>
      <c r="D58" s="10">
        <v>2003608.37</v>
      </c>
      <c r="E58" s="10">
        <v>2492472.96</v>
      </c>
      <c r="F58" s="10">
        <v>1917289.66</v>
      </c>
      <c r="G58" s="10">
        <v>2892061.91</v>
      </c>
      <c r="H58" s="10">
        <v>1812461.78</v>
      </c>
      <c r="I58" s="10">
        <v>2372336.2200000002</v>
      </c>
      <c r="J58" s="10">
        <v>1895345.27</v>
      </c>
      <c r="K58" s="10">
        <v>5468286.6699999999</v>
      </c>
      <c r="L58" s="10">
        <v>2984517.74</v>
      </c>
      <c r="M58" s="10">
        <v>2548054.5699999998</v>
      </c>
      <c r="N58" s="30">
        <f>SUM(B58:M58)</f>
        <v>31888889.219999999</v>
      </c>
      <c r="O58" s="7"/>
      <c r="P58" s="2" t="s">
        <v>23</v>
      </c>
      <c r="Q58" s="36"/>
    </row>
    <row r="59" spans="1:22" ht="12.75" outlineLevel="1">
      <c r="A59" s="9" t="s">
        <v>74</v>
      </c>
      <c r="B59" s="10">
        <v>4428668.8600000003</v>
      </c>
      <c r="C59" s="10">
        <v>1073785.21</v>
      </c>
      <c r="D59" s="10">
        <v>2003608.37</v>
      </c>
      <c r="E59" s="10">
        <v>2492472.96</v>
      </c>
      <c r="F59" s="10">
        <v>1917289.66</v>
      </c>
      <c r="G59" s="10">
        <v>2892061.91</v>
      </c>
      <c r="H59" s="10">
        <v>1812461.78</v>
      </c>
      <c r="I59" s="10">
        <v>2372336.2200000002</v>
      </c>
      <c r="J59" s="10">
        <v>1895345.27</v>
      </c>
      <c r="K59" s="10">
        <v>5468286.6699999999</v>
      </c>
      <c r="L59" s="10">
        <v>2984517.74</v>
      </c>
      <c r="M59" s="10">
        <v>2548054.5699999998</v>
      </c>
      <c r="N59" s="30">
        <f>SUM(B59:M59)</f>
        <v>31888889.219999999</v>
      </c>
      <c r="O59" s="7"/>
      <c r="P59" s="37" t="s">
        <v>40</v>
      </c>
      <c r="Q59" s="36"/>
    </row>
    <row r="60" spans="1:22" ht="12.75" outlineLevel="1">
      <c r="A60" s="3" t="s">
        <v>13</v>
      </c>
      <c r="B60" s="31">
        <f>B58-B59</f>
        <v>0</v>
      </c>
      <c r="C60" s="31">
        <f t="shared" ref="C60:M60" si="9">C58-C59</f>
        <v>0</v>
      </c>
      <c r="D60" s="31">
        <f t="shared" si="9"/>
        <v>0</v>
      </c>
      <c r="E60" s="31">
        <f t="shared" si="9"/>
        <v>0</v>
      </c>
      <c r="F60" s="31">
        <f t="shared" si="9"/>
        <v>0</v>
      </c>
      <c r="G60" s="31">
        <f t="shared" si="9"/>
        <v>0</v>
      </c>
      <c r="H60" s="31">
        <f t="shared" si="9"/>
        <v>0</v>
      </c>
      <c r="I60" s="31">
        <f t="shared" si="9"/>
        <v>0</v>
      </c>
      <c r="J60" s="31">
        <f t="shared" si="9"/>
        <v>0</v>
      </c>
      <c r="K60" s="31">
        <f t="shared" si="9"/>
        <v>0</v>
      </c>
      <c r="L60" s="31">
        <f t="shared" si="9"/>
        <v>0</v>
      </c>
      <c r="M60" s="31">
        <f t="shared" si="9"/>
        <v>0</v>
      </c>
      <c r="N60" s="30">
        <f>M60</f>
        <v>0</v>
      </c>
      <c r="O60" s="7"/>
      <c r="P60" s="37" t="s">
        <v>41</v>
      </c>
      <c r="Q60" s="36"/>
    </row>
    <row r="61" spans="1:22" outlineLevel="1">
      <c r="A61" s="3"/>
      <c r="B61" s="2"/>
      <c r="C61" s="2"/>
      <c r="D61" s="2"/>
      <c r="E61" s="2"/>
      <c r="F61" s="2"/>
      <c r="G61" s="2"/>
      <c r="H61" s="2"/>
      <c r="I61" s="2"/>
      <c r="J61" s="2"/>
      <c r="K61" s="2"/>
      <c r="L61" s="2"/>
      <c r="M61" s="2"/>
      <c r="N61" s="11"/>
      <c r="O61" s="7"/>
      <c r="P61" s="37" t="s">
        <v>46</v>
      </c>
      <c r="Q61" s="38">
        <f>N60+SUM(Q57:Q60)</f>
        <v>0</v>
      </c>
    </row>
    <row r="62" spans="1:22" outlineLevel="1">
      <c r="A62" s="3" t="s">
        <v>32</v>
      </c>
      <c r="B62" s="10"/>
      <c r="C62" s="10"/>
      <c r="D62" s="10"/>
      <c r="E62" s="10"/>
      <c r="F62" s="10"/>
      <c r="G62" s="10"/>
      <c r="H62" s="10"/>
      <c r="I62" s="10"/>
      <c r="J62" s="10"/>
      <c r="K62" s="10"/>
      <c r="L62" s="10"/>
      <c r="M62" s="10"/>
      <c r="N62" s="30">
        <f>SUM(B62:M62)</f>
        <v>0</v>
      </c>
      <c r="O62" s="7"/>
    </row>
    <row r="63" spans="1:22" outlineLevel="1">
      <c r="A63" s="3" t="s">
        <v>31</v>
      </c>
      <c r="B63" s="10">
        <v>0</v>
      </c>
      <c r="C63" s="10">
        <v>0</v>
      </c>
      <c r="D63" s="10">
        <v>0</v>
      </c>
      <c r="E63" s="10">
        <v>0</v>
      </c>
      <c r="F63" s="10">
        <v>0</v>
      </c>
      <c r="G63" s="10">
        <v>0</v>
      </c>
      <c r="H63" s="10">
        <v>0</v>
      </c>
      <c r="I63" s="10">
        <v>0</v>
      </c>
      <c r="J63" s="10">
        <v>0</v>
      </c>
      <c r="K63" s="10">
        <v>0</v>
      </c>
      <c r="L63" s="10">
        <v>0</v>
      </c>
      <c r="M63" s="10">
        <v>0</v>
      </c>
      <c r="N63" s="30">
        <f>SUM(B63:M63)</f>
        <v>0</v>
      </c>
      <c r="O63" s="7"/>
    </row>
    <row r="64" spans="1:22" outlineLevel="1">
      <c r="B64" s="2"/>
      <c r="C64" s="2"/>
      <c r="D64" s="2"/>
      <c r="E64" s="2"/>
      <c r="F64" s="2"/>
      <c r="G64" s="2"/>
      <c r="H64" s="2"/>
      <c r="I64" s="2"/>
      <c r="J64" s="2"/>
      <c r="K64" s="2"/>
      <c r="L64" s="2"/>
      <c r="M64" s="2"/>
      <c r="N64" s="4"/>
      <c r="O64" s="7"/>
    </row>
    <row r="65" spans="1:17" hidden="1">
      <c r="A65" s="20" t="s">
        <v>24</v>
      </c>
      <c r="B65" s="21"/>
      <c r="C65" s="21"/>
      <c r="D65" s="21"/>
      <c r="E65" s="21"/>
      <c r="F65" s="21"/>
      <c r="G65" s="21"/>
      <c r="H65" s="21"/>
      <c r="I65" s="21"/>
      <c r="J65" s="21"/>
      <c r="K65" s="21"/>
      <c r="L65" s="21"/>
      <c r="M65" s="21"/>
      <c r="N65" s="22"/>
      <c r="O65" s="6"/>
      <c r="P65" s="323" t="str">
        <f>A65</f>
        <v>[TYPE of account] - [NAME of account]</v>
      </c>
      <c r="Q65" s="324"/>
    </row>
    <row r="66" spans="1:17" hidden="1" outlineLevel="1">
      <c r="A66" s="1" t="s">
        <v>12</v>
      </c>
      <c r="B66" s="10"/>
      <c r="C66" s="29">
        <f t="shared" ref="C66:M66" si="10">B69</f>
        <v>0</v>
      </c>
      <c r="D66" s="29">
        <f t="shared" si="10"/>
        <v>0</v>
      </c>
      <c r="E66" s="29">
        <f t="shared" si="10"/>
        <v>0</v>
      </c>
      <c r="F66" s="29">
        <f t="shared" si="10"/>
        <v>0</v>
      </c>
      <c r="G66" s="29">
        <f t="shared" si="10"/>
        <v>0</v>
      </c>
      <c r="H66" s="29">
        <f t="shared" si="10"/>
        <v>0</v>
      </c>
      <c r="I66" s="29">
        <f t="shared" si="10"/>
        <v>0</v>
      </c>
      <c r="J66" s="29">
        <f t="shared" si="10"/>
        <v>0</v>
      </c>
      <c r="K66" s="29">
        <f t="shared" si="10"/>
        <v>0</v>
      </c>
      <c r="L66" s="29">
        <f t="shared" si="10"/>
        <v>0</v>
      </c>
      <c r="M66" s="29">
        <f t="shared" si="10"/>
        <v>0</v>
      </c>
      <c r="N66" s="30">
        <f>B66</f>
        <v>0</v>
      </c>
      <c r="O66" s="7"/>
      <c r="P66" s="2" t="s">
        <v>22</v>
      </c>
      <c r="Q66" s="36"/>
    </row>
    <row r="67" spans="1:17" hidden="1" outlineLevel="1">
      <c r="A67" s="9" t="s">
        <v>14</v>
      </c>
      <c r="B67" s="10"/>
      <c r="C67" s="10"/>
      <c r="D67" s="10"/>
      <c r="E67" s="10"/>
      <c r="F67" s="10"/>
      <c r="G67" s="10"/>
      <c r="H67" s="10"/>
      <c r="I67" s="10"/>
      <c r="J67" s="10"/>
      <c r="K67" s="10"/>
      <c r="L67" s="10"/>
      <c r="M67" s="10"/>
      <c r="N67" s="30">
        <f>SUM(B67:M67)</f>
        <v>0</v>
      </c>
      <c r="O67" s="7"/>
      <c r="P67" s="2" t="s">
        <v>23</v>
      </c>
      <c r="Q67" s="36"/>
    </row>
    <row r="68" spans="1:17" ht="12.75" hidden="1" outlineLevel="1">
      <c r="A68" s="9" t="s">
        <v>74</v>
      </c>
      <c r="B68" s="10"/>
      <c r="C68" s="10"/>
      <c r="D68" s="10"/>
      <c r="E68" s="10"/>
      <c r="F68" s="10"/>
      <c r="G68" s="10"/>
      <c r="H68" s="10"/>
      <c r="I68" s="10"/>
      <c r="J68" s="10"/>
      <c r="K68" s="10"/>
      <c r="L68" s="10"/>
      <c r="M68" s="10"/>
      <c r="N68" s="30">
        <f>SUM(B68:M68)</f>
        <v>0</v>
      </c>
      <c r="O68" s="7"/>
      <c r="P68" s="37" t="s">
        <v>40</v>
      </c>
      <c r="Q68" s="36"/>
    </row>
    <row r="69" spans="1:17" ht="12.75" hidden="1" outlineLevel="1">
      <c r="A69" s="3" t="s">
        <v>13</v>
      </c>
      <c r="B69" s="31">
        <f t="shared" ref="B69:M69" si="11">B66+B67-B68</f>
        <v>0</v>
      </c>
      <c r="C69" s="31">
        <f t="shared" si="11"/>
        <v>0</v>
      </c>
      <c r="D69" s="31">
        <f t="shared" si="11"/>
        <v>0</v>
      </c>
      <c r="E69" s="31">
        <f t="shared" si="11"/>
        <v>0</v>
      </c>
      <c r="F69" s="31">
        <f t="shared" si="11"/>
        <v>0</v>
      </c>
      <c r="G69" s="31">
        <f t="shared" si="11"/>
        <v>0</v>
      </c>
      <c r="H69" s="31">
        <f t="shared" si="11"/>
        <v>0</v>
      </c>
      <c r="I69" s="31">
        <f t="shared" si="11"/>
        <v>0</v>
      </c>
      <c r="J69" s="31">
        <f t="shared" si="11"/>
        <v>0</v>
      </c>
      <c r="K69" s="31">
        <f t="shared" si="11"/>
        <v>0</v>
      </c>
      <c r="L69" s="31">
        <f t="shared" si="11"/>
        <v>0</v>
      </c>
      <c r="M69" s="31">
        <f t="shared" si="11"/>
        <v>0</v>
      </c>
      <c r="N69" s="30">
        <f>M69</f>
        <v>0</v>
      </c>
      <c r="O69" s="7"/>
      <c r="P69" s="37" t="s">
        <v>41</v>
      </c>
      <c r="Q69" s="36"/>
    </row>
    <row r="70" spans="1:17" hidden="1" outlineLevel="1">
      <c r="A70" s="3"/>
      <c r="B70" s="2"/>
      <c r="C70" s="2"/>
      <c r="D70" s="2"/>
      <c r="E70" s="2"/>
      <c r="F70" s="2"/>
      <c r="G70" s="2"/>
      <c r="H70" s="2"/>
      <c r="I70" s="2"/>
      <c r="J70" s="2"/>
      <c r="K70" s="2"/>
      <c r="L70" s="2"/>
      <c r="M70" s="2"/>
      <c r="N70" s="11"/>
      <c r="O70" s="7"/>
      <c r="P70" s="37" t="s">
        <v>46</v>
      </c>
      <c r="Q70" s="38">
        <f>N69+SUM(Q66:Q69)</f>
        <v>0</v>
      </c>
    </row>
    <row r="71" spans="1:17" hidden="1" outlineLevel="1">
      <c r="A71" s="3" t="s">
        <v>32</v>
      </c>
      <c r="B71" s="10"/>
      <c r="C71" s="10"/>
      <c r="D71" s="10"/>
      <c r="E71" s="10"/>
      <c r="F71" s="10"/>
      <c r="G71" s="10"/>
      <c r="H71" s="10"/>
      <c r="I71" s="10"/>
      <c r="J71" s="10"/>
      <c r="K71" s="10"/>
      <c r="L71" s="10"/>
      <c r="M71" s="10"/>
      <c r="N71" s="30">
        <f>SUM(B71:M71)</f>
        <v>0</v>
      </c>
      <c r="O71" s="7"/>
    </row>
    <row r="72" spans="1:17" hidden="1" outlineLevel="1">
      <c r="A72" s="3" t="s">
        <v>31</v>
      </c>
      <c r="B72" s="10"/>
      <c r="C72" s="10"/>
      <c r="D72" s="10"/>
      <c r="E72" s="10"/>
      <c r="F72" s="10"/>
      <c r="G72" s="10"/>
      <c r="H72" s="10"/>
      <c r="I72" s="10"/>
      <c r="J72" s="10"/>
      <c r="K72" s="10"/>
      <c r="L72" s="10"/>
      <c r="M72" s="10"/>
      <c r="N72" s="30">
        <f>SUM(B72:M72)</f>
        <v>0</v>
      </c>
      <c r="O72" s="7"/>
    </row>
    <row r="73" spans="1:17" hidden="1" outlineLevel="1">
      <c r="B73" s="2"/>
      <c r="C73" s="2"/>
      <c r="D73" s="2"/>
      <c r="E73" s="2"/>
      <c r="F73" s="2"/>
      <c r="G73" s="2"/>
      <c r="H73" s="2"/>
      <c r="I73" s="2"/>
      <c r="J73" s="2"/>
      <c r="K73" s="2"/>
      <c r="L73" s="2"/>
      <c r="M73" s="2"/>
      <c r="N73" s="4"/>
      <c r="O73" s="7"/>
    </row>
    <row r="74" spans="1:17" hidden="1">
      <c r="A74" s="20" t="s">
        <v>24</v>
      </c>
      <c r="B74" s="21"/>
      <c r="C74" s="21"/>
      <c r="D74" s="21"/>
      <c r="E74" s="21"/>
      <c r="F74" s="21"/>
      <c r="G74" s="21"/>
      <c r="H74" s="21"/>
      <c r="I74" s="21"/>
      <c r="J74" s="21"/>
      <c r="K74" s="21"/>
      <c r="L74" s="21"/>
      <c r="M74" s="21"/>
      <c r="N74" s="22"/>
      <c r="O74" s="6"/>
      <c r="P74" s="323" t="str">
        <f>A74</f>
        <v>[TYPE of account] - [NAME of account]</v>
      </c>
      <c r="Q74" s="324"/>
    </row>
    <row r="75" spans="1:17" hidden="1" outlineLevel="1">
      <c r="A75" s="1" t="s">
        <v>12</v>
      </c>
      <c r="B75" s="10"/>
      <c r="C75" s="29">
        <f t="shared" ref="C75:M75" si="12">B78</f>
        <v>0</v>
      </c>
      <c r="D75" s="29">
        <f t="shared" si="12"/>
        <v>0</v>
      </c>
      <c r="E75" s="29">
        <f t="shared" si="12"/>
        <v>0</v>
      </c>
      <c r="F75" s="29">
        <f t="shared" si="12"/>
        <v>0</v>
      </c>
      <c r="G75" s="29">
        <f t="shared" si="12"/>
        <v>0</v>
      </c>
      <c r="H75" s="29">
        <f t="shared" si="12"/>
        <v>0</v>
      </c>
      <c r="I75" s="29">
        <f t="shared" si="12"/>
        <v>0</v>
      </c>
      <c r="J75" s="29">
        <f t="shared" si="12"/>
        <v>0</v>
      </c>
      <c r="K75" s="29">
        <f t="shared" si="12"/>
        <v>0</v>
      </c>
      <c r="L75" s="29">
        <f t="shared" si="12"/>
        <v>0</v>
      </c>
      <c r="M75" s="29">
        <f t="shared" si="12"/>
        <v>0</v>
      </c>
      <c r="N75" s="30">
        <f>B75</f>
        <v>0</v>
      </c>
      <c r="O75" s="7"/>
      <c r="P75" s="2" t="s">
        <v>22</v>
      </c>
      <c r="Q75" s="36"/>
    </row>
    <row r="76" spans="1:17" hidden="1" outlineLevel="1">
      <c r="A76" s="9" t="s">
        <v>14</v>
      </c>
      <c r="B76" s="10"/>
      <c r="C76" s="10"/>
      <c r="D76" s="10"/>
      <c r="E76" s="10"/>
      <c r="F76" s="10"/>
      <c r="G76" s="10"/>
      <c r="H76" s="10"/>
      <c r="I76" s="10"/>
      <c r="J76" s="10"/>
      <c r="K76" s="10"/>
      <c r="L76" s="10"/>
      <c r="M76" s="10"/>
      <c r="N76" s="30">
        <f>SUM(B76:M76)</f>
        <v>0</v>
      </c>
      <c r="O76" s="7"/>
      <c r="P76" s="2" t="s">
        <v>23</v>
      </c>
      <c r="Q76" s="36"/>
    </row>
    <row r="77" spans="1:17" ht="12.75" hidden="1" outlineLevel="1">
      <c r="A77" s="9" t="s">
        <v>74</v>
      </c>
      <c r="B77" s="10"/>
      <c r="C77" s="10"/>
      <c r="D77" s="10"/>
      <c r="E77" s="10"/>
      <c r="F77" s="10"/>
      <c r="G77" s="10"/>
      <c r="H77" s="10"/>
      <c r="I77" s="10"/>
      <c r="J77" s="10"/>
      <c r="K77" s="10"/>
      <c r="L77" s="10"/>
      <c r="M77" s="10"/>
      <c r="N77" s="30">
        <f>SUM(B77:M77)</f>
        <v>0</v>
      </c>
      <c r="O77" s="7"/>
      <c r="P77" s="37" t="s">
        <v>40</v>
      </c>
      <c r="Q77" s="36"/>
    </row>
    <row r="78" spans="1:17" ht="12.75" hidden="1" outlineLevel="1">
      <c r="A78" s="3" t="s">
        <v>13</v>
      </c>
      <c r="B78" s="31">
        <f t="shared" ref="B78:M78" si="13">B75+B76-B77</f>
        <v>0</v>
      </c>
      <c r="C78" s="31">
        <f t="shared" si="13"/>
        <v>0</v>
      </c>
      <c r="D78" s="31">
        <f t="shared" si="13"/>
        <v>0</v>
      </c>
      <c r="E78" s="31">
        <f t="shared" si="13"/>
        <v>0</v>
      </c>
      <c r="F78" s="31">
        <f t="shared" si="13"/>
        <v>0</v>
      </c>
      <c r="G78" s="31">
        <f t="shared" si="13"/>
        <v>0</v>
      </c>
      <c r="H78" s="31">
        <f t="shared" si="13"/>
        <v>0</v>
      </c>
      <c r="I78" s="31">
        <f t="shared" si="13"/>
        <v>0</v>
      </c>
      <c r="J78" s="31">
        <f t="shared" si="13"/>
        <v>0</v>
      </c>
      <c r="K78" s="31">
        <f t="shared" si="13"/>
        <v>0</v>
      </c>
      <c r="L78" s="31">
        <f t="shared" si="13"/>
        <v>0</v>
      </c>
      <c r="M78" s="31">
        <f t="shared" si="13"/>
        <v>0</v>
      </c>
      <c r="N78" s="30">
        <f>M78</f>
        <v>0</v>
      </c>
      <c r="O78" s="7"/>
      <c r="P78" s="37" t="s">
        <v>41</v>
      </c>
      <c r="Q78" s="36"/>
    </row>
    <row r="79" spans="1:17" hidden="1" outlineLevel="1">
      <c r="A79" s="3"/>
      <c r="B79" s="2"/>
      <c r="C79" s="2"/>
      <c r="D79" s="2"/>
      <c r="E79" s="2"/>
      <c r="F79" s="2"/>
      <c r="G79" s="2"/>
      <c r="H79" s="2"/>
      <c r="I79" s="2"/>
      <c r="J79" s="2"/>
      <c r="K79" s="2"/>
      <c r="L79" s="2"/>
      <c r="M79" s="2"/>
      <c r="N79" s="11"/>
      <c r="O79" s="7"/>
      <c r="P79" s="37" t="s">
        <v>46</v>
      </c>
      <c r="Q79" s="38">
        <f>N78+SUM(Q75:Q78)</f>
        <v>0</v>
      </c>
    </row>
    <row r="80" spans="1:17" hidden="1" outlineLevel="1">
      <c r="A80" s="3" t="s">
        <v>32</v>
      </c>
      <c r="B80" s="10"/>
      <c r="C80" s="10"/>
      <c r="D80" s="10"/>
      <c r="E80" s="10"/>
      <c r="F80" s="10"/>
      <c r="G80" s="10"/>
      <c r="H80" s="10"/>
      <c r="I80" s="10"/>
      <c r="J80" s="10"/>
      <c r="K80" s="10"/>
      <c r="L80" s="10"/>
      <c r="M80" s="10"/>
      <c r="N80" s="30">
        <f>SUM(B80:M80)</f>
        <v>0</v>
      </c>
      <c r="O80" s="7"/>
    </row>
    <row r="81" spans="1:17" hidden="1" outlineLevel="1">
      <c r="A81" s="3" t="s">
        <v>31</v>
      </c>
      <c r="B81" s="10"/>
      <c r="C81" s="10"/>
      <c r="D81" s="10"/>
      <c r="E81" s="10"/>
      <c r="F81" s="10"/>
      <c r="G81" s="10"/>
      <c r="H81" s="10"/>
      <c r="I81" s="10"/>
      <c r="J81" s="10"/>
      <c r="K81" s="10"/>
      <c r="L81" s="10"/>
      <c r="M81" s="10"/>
      <c r="N81" s="30">
        <f>SUM(B81:M81)</f>
        <v>0</v>
      </c>
      <c r="O81" s="7"/>
    </row>
    <row r="82" spans="1:17" hidden="1" outlineLevel="1">
      <c r="B82" s="2"/>
      <c r="C82" s="2"/>
      <c r="D82" s="2"/>
      <c r="E82" s="2"/>
      <c r="F82" s="2"/>
      <c r="G82" s="2"/>
      <c r="H82" s="2"/>
      <c r="I82" s="2"/>
      <c r="J82" s="2"/>
      <c r="K82" s="2"/>
      <c r="L82" s="2"/>
      <c r="M82" s="2"/>
      <c r="N82" s="4"/>
      <c r="O82" s="7"/>
    </row>
    <row r="83" spans="1:17" hidden="1">
      <c r="A83" s="20" t="s">
        <v>24</v>
      </c>
      <c r="B83" s="21"/>
      <c r="C83" s="21"/>
      <c r="D83" s="21"/>
      <c r="E83" s="21"/>
      <c r="F83" s="21"/>
      <c r="G83" s="21"/>
      <c r="H83" s="21"/>
      <c r="I83" s="21"/>
      <c r="J83" s="21"/>
      <c r="K83" s="21"/>
      <c r="L83" s="21"/>
      <c r="M83" s="21"/>
      <c r="N83" s="22"/>
      <c r="O83" s="6"/>
      <c r="P83" s="323" t="str">
        <f>A83</f>
        <v>[TYPE of account] - [NAME of account]</v>
      </c>
      <c r="Q83" s="324"/>
    </row>
    <row r="84" spans="1:17" hidden="1" outlineLevel="1">
      <c r="A84" s="1" t="s">
        <v>12</v>
      </c>
      <c r="B84" s="10"/>
      <c r="C84" s="29">
        <f t="shared" ref="C84:M84" si="14">B87</f>
        <v>0</v>
      </c>
      <c r="D84" s="29">
        <f t="shared" si="14"/>
        <v>0</v>
      </c>
      <c r="E84" s="29">
        <f t="shared" si="14"/>
        <v>0</v>
      </c>
      <c r="F84" s="29">
        <f t="shared" si="14"/>
        <v>0</v>
      </c>
      <c r="G84" s="29">
        <f t="shared" si="14"/>
        <v>0</v>
      </c>
      <c r="H84" s="29">
        <f t="shared" si="14"/>
        <v>0</v>
      </c>
      <c r="I84" s="29">
        <f t="shared" si="14"/>
        <v>0</v>
      </c>
      <c r="J84" s="29">
        <f t="shared" si="14"/>
        <v>0</v>
      </c>
      <c r="K84" s="29">
        <f t="shared" si="14"/>
        <v>0</v>
      </c>
      <c r="L84" s="29">
        <f t="shared" si="14"/>
        <v>0</v>
      </c>
      <c r="M84" s="29">
        <f t="shared" si="14"/>
        <v>0</v>
      </c>
      <c r="N84" s="30">
        <f>B84</f>
        <v>0</v>
      </c>
      <c r="O84" s="7"/>
      <c r="P84" s="2" t="s">
        <v>22</v>
      </c>
      <c r="Q84" s="36"/>
    </row>
    <row r="85" spans="1:17" hidden="1" outlineLevel="1">
      <c r="A85" s="9" t="s">
        <v>14</v>
      </c>
      <c r="B85" s="10"/>
      <c r="C85" s="10"/>
      <c r="D85" s="10"/>
      <c r="E85" s="10"/>
      <c r="F85" s="10"/>
      <c r="G85" s="10"/>
      <c r="H85" s="10"/>
      <c r="I85" s="10"/>
      <c r="J85" s="10"/>
      <c r="K85" s="10"/>
      <c r="L85" s="10"/>
      <c r="M85" s="10"/>
      <c r="N85" s="30">
        <f>SUM(B85:M85)</f>
        <v>0</v>
      </c>
      <c r="O85" s="7"/>
      <c r="P85" s="2" t="s">
        <v>23</v>
      </c>
      <c r="Q85" s="36"/>
    </row>
    <row r="86" spans="1:17" ht="12.75" hidden="1" outlineLevel="1">
      <c r="A86" s="9" t="s">
        <v>74</v>
      </c>
      <c r="B86" s="10"/>
      <c r="C86" s="10"/>
      <c r="D86" s="10"/>
      <c r="E86" s="10"/>
      <c r="F86" s="10"/>
      <c r="G86" s="10"/>
      <c r="H86" s="10"/>
      <c r="I86" s="10"/>
      <c r="J86" s="10"/>
      <c r="K86" s="10"/>
      <c r="L86" s="10"/>
      <c r="M86" s="10"/>
      <c r="N86" s="30">
        <f>SUM(B86:M86)</f>
        <v>0</v>
      </c>
      <c r="O86" s="7"/>
      <c r="P86" s="37" t="s">
        <v>40</v>
      </c>
      <c r="Q86" s="36"/>
    </row>
    <row r="87" spans="1:17" ht="12.75" hidden="1" outlineLevel="1">
      <c r="A87" s="3" t="s">
        <v>13</v>
      </c>
      <c r="B87" s="31">
        <f t="shared" ref="B87:M87" si="15">B84+B85-B86</f>
        <v>0</v>
      </c>
      <c r="C87" s="31">
        <f t="shared" si="15"/>
        <v>0</v>
      </c>
      <c r="D87" s="31">
        <f t="shared" si="15"/>
        <v>0</v>
      </c>
      <c r="E87" s="31">
        <f t="shared" si="15"/>
        <v>0</v>
      </c>
      <c r="F87" s="31">
        <f t="shared" si="15"/>
        <v>0</v>
      </c>
      <c r="G87" s="31">
        <f t="shared" si="15"/>
        <v>0</v>
      </c>
      <c r="H87" s="31">
        <f t="shared" si="15"/>
        <v>0</v>
      </c>
      <c r="I87" s="31">
        <f t="shared" si="15"/>
        <v>0</v>
      </c>
      <c r="J87" s="31">
        <f t="shared" si="15"/>
        <v>0</v>
      </c>
      <c r="K87" s="31">
        <f t="shared" si="15"/>
        <v>0</v>
      </c>
      <c r="L87" s="31">
        <f t="shared" si="15"/>
        <v>0</v>
      </c>
      <c r="M87" s="31">
        <f t="shared" si="15"/>
        <v>0</v>
      </c>
      <c r="N87" s="30">
        <f>M87</f>
        <v>0</v>
      </c>
      <c r="O87" s="7"/>
      <c r="P87" s="37" t="s">
        <v>41</v>
      </c>
      <c r="Q87" s="36"/>
    </row>
    <row r="88" spans="1:17" hidden="1" outlineLevel="1">
      <c r="A88" s="3"/>
      <c r="B88" s="2"/>
      <c r="C88" s="2"/>
      <c r="D88" s="2"/>
      <c r="E88" s="2"/>
      <c r="F88" s="2"/>
      <c r="G88" s="2"/>
      <c r="H88" s="2"/>
      <c r="I88" s="2"/>
      <c r="J88" s="2"/>
      <c r="K88" s="2"/>
      <c r="L88" s="2"/>
      <c r="M88" s="2"/>
      <c r="N88" s="11"/>
      <c r="O88" s="7"/>
      <c r="P88" s="37" t="s">
        <v>46</v>
      </c>
      <c r="Q88" s="38">
        <f>N87+SUM(Q84:Q87)</f>
        <v>0</v>
      </c>
    </row>
    <row r="89" spans="1:17" hidden="1" outlineLevel="1">
      <c r="A89" s="3" t="s">
        <v>32</v>
      </c>
      <c r="B89" s="10"/>
      <c r="C89" s="10"/>
      <c r="D89" s="10"/>
      <c r="E89" s="10"/>
      <c r="F89" s="10"/>
      <c r="G89" s="10"/>
      <c r="H89" s="10"/>
      <c r="I89" s="10"/>
      <c r="J89" s="10"/>
      <c r="K89" s="10"/>
      <c r="L89" s="10"/>
      <c r="M89" s="10"/>
      <c r="N89" s="30">
        <f>SUM(B89:M89)</f>
        <v>0</v>
      </c>
      <c r="O89" s="7"/>
    </row>
    <row r="90" spans="1:17" hidden="1" outlineLevel="1">
      <c r="A90" s="3" t="s">
        <v>31</v>
      </c>
      <c r="B90" s="10"/>
      <c r="C90" s="10"/>
      <c r="D90" s="10"/>
      <c r="E90" s="10"/>
      <c r="F90" s="10"/>
      <c r="G90" s="10"/>
      <c r="H90" s="10"/>
      <c r="I90" s="10"/>
      <c r="J90" s="10"/>
      <c r="K90" s="10"/>
      <c r="L90" s="10"/>
      <c r="M90" s="10"/>
      <c r="N90" s="30">
        <f>SUM(B90:M90)</f>
        <v>0</v>
      </c>
      <c r="O90" s="7"/>
    </row>
    <row r="91" spans="1:17" hidden="1" outlineLevel="1">
      <c r="B91" s="2"/>
      <c r="C91" s="2"/>
      <c r="D91" s="2"/>
      <c r="E91" s="2"/>
      <c r="F91" s="2"/>
      <c r="G91" s="2"/>
      <c r="H91" s="2"/>
      <c r="I91" s="2"/>
      <c r="J91" s="2"/>
      <c r="K91" s="2"/>
      <c r="L91" s="2"/>
      <c r="M91" s="2"/>
      <c r="N91" s="4"/>
      <c r="O91" s="7"/>
    </row>
    <row r="92" spans="1:17" hidden="1">
      <c r="A92" s="20" t="s">
        <v>24</v>
      </c>
      <c r="B92" s="21"/>
      <c r="C92" s="21"/>
      <c r="D92" s="21"/>
      <c r="E92" s="21"/>
      <c r="F92" s="21"/>
      <c r="G92" s="21"/>
      <c r="H92" s="21"/>
      <c r="I92" s="21"/>
      <c r="J92" s="21"/>
      <c r="K92" s="21"/>
      <c r="L92" s="21"/>
      <c r="M92" s="21"/>
      <c r="N92" s="22"/>
      <c r="O92" s="6"/>
      <c r="P92" s="323" t="str">
        <f>A92</f>
        <v>[TYPE of account] - [NAME of account]</v>
      </c>
      <c r="Q92" s="324"/>
    </row>
    <row r="93" spans="1:17" hidden="1" outlineLevel="1">
      <c r="A93" s="1" t="s">
        <v>12</v>
      </c>
      <c r="B93" s="10"/>
      <c r="C93" s="29">
        <f t="shared" ref="C93:M93" si="16">B96</f>
        <v>0</v>
      </c>
      <c r="D93" s="29">
        <f t="shared" si="16"/>
        <v>0</v>
      </c>
      <c r="E93" s="29">
        <f t="shared" si="16"/>
        <v>0</v>
      </c>
      <c r="F93" s="29">
        <f t="shared" si="16"/>
        <v>0</v>
      </c>
      <c r="G93" s="29">
        <f t="shared" si="16"/>
        <v>0</v>
      </c>
      <c r="H93" s="29">
        <f t="shared" si="16"/>
        <v>0</v>
      </c>
      <c r="I93" s="29">
        <f t="shared" si="16"/>
        <v>0</v>
      </c>
      <c r="J93" s="29">
        <f t="shared" si="16"/>
        <v>0</v>
      </c>
      <c r="K93" s="29">
        <f t="shared" si="16"/>
        <v>0</v>
      </c>
      <c r="L93" s="29">
        <f t="shared" si="16"/>
        <v>0</v>
      </c>
      <c r="M93" s="29">
        <f t="shared" si="16"/>
        <v>0</v>
      </c>
      <c r="N93" s="30">
        <f>B93</f>
        <v>0</v>
      </c>
      <c r="O93" s="7"/>
      <c r="P93" s="2" t="s">
        <v>22</v>
      </c>
      <c r="Q93" s="36"/>
    </row>
    <row r="94" spans="1:17" hidden="1" outlineLevel="1">
      <c r="A94" s="9" t="s">
        <v>14</v>
      </c>
      <c r="B94" s="10"/>
      <c r="C94" s="10"/>
      <c r="D94" s="10"/>
      <c r="E94" s="10"/>
      <c r="F94" s="10"/>
      <c r="G94" s="10"/>
      <c r="H94" s="10"/>
      <c r="I94" s="10"/>
      <c r="J94" s="10"/>
      <c r="K94" s="10"/>
      <c r="L94" s="10"/>
      <c r="M94" s="10"/>
      <c r="N94" s="30">
        <f>SUM(B94:M94)</f>
        <v>0</v>
      </c>
      <c r="O94" s="7"/>
      <c r="P94" s="2" t="s">
        <v>23</v>
      </c>
      <c r="Q94" s="36"/>
    </row>
    <row r="95" spans="1:17" ht="12.75" hidden="1" outlineLevel="1">
      <c r="A95" s="9" t="s">
        <v>74</v>
      </c>
      <c r="B95" s="10"/>
      <c r="C95" s="10"/>
      <c r="D95" s="10"/>
      <c r="E95" s="10"/>
      <c r="F95" s="10"/>
      <c r="G95" s="10"/>
      <c r="H95" s="10"/>
      <c r="I95" s="10"/>
      <c r="J95" s="10"/>
      <c r="K95" s="10"/>
      <c r="L95" s="10"/>
      <c r="M95" s="10"/>
      <c r="N95" s="30">
        <f>SUM(B95:M95)</f>
        <v>0</v>
      </c>
      <c r="O95" s="7"/>
      <c r="P95" s="37" t="s">
        <v>40</v>
      </c>
      <c r="Q95" s="36"/>
    </row>
    <row r="96" spans="1:17" ht="12.75" hidden="1" outlineLevel="1">
      <c r="A96" s="3" t="s">
        <v>13</v>
      </c>
      <c r="B96" s="31">
        <f t="shared" ref="B96:M96" si="17">B93+B94-B95</f>
        <v>0</v>
      </c>
      <c r="C96" s="31">
        <f t="shared" si="17"/>
        <v>0</v>
      </c>
      <c r="D96" s="31">
        <f t="shared" si="17"/>
        <v>0</v>
      </c>
      <c r="E96" s="31">
        <f t="shared" si="17"/>
        <v>0</v>
      </c>
      <c r="F96" s="31">
        <f t="shared" si="17"/>
        <v>0</v>
      </c>
      <c r="G96" s="31">
        <f t="shared" si="17"/>
        <v>0</v>
      </c>
      <c r="H96" s="31">
        <f t="shared" si="17"/>
        <v>0</v>
      </c>
      <c r="I96" s="31">
        <f t="shared" si="17"/>
        <v>0</v>
      </c>
      <c r="J96" s="31">
        <f t="shared" si="17"/>
        <v>0</v>
      </c>
      <c r="K96" s="31">
        <f t="shared" si="17"/>
        <v>0</v>
      </c>
      <c r="L96" s="31">
        <f t="shared" si="17"/>
        <v>0</v>
      </c>
      <c r="M96" s="31">
        <f t="shared" si="17"/>
        <v>0</v>
      </c>
      <c r="N96" s="30">
        <f>M96</f>
        <v>0</v>
      </c>
      <c r="O96" s="7"/>
      <c r="P96" s="37" t="s">
        <v>41</v>
      </c>
      <c r="Q96" s="36"/>
    </row>
    <row r="97" spans="1:17" hidden="1" outlineLevel="1">
      <c r="A97" s="3"/>
      <c r="B97" s="2"/>
      <c r="C97" s="2"/>
      <c r="D97" s="2"/>
      <c r="E97" s="2"/>
      <c r="F97" s="2"/>
      <c r="G97" s="2"/>
      <c r="H97" s="2"/>
      <c r="I97" s="2"/>
      <c r="J97" s="2"/>
      <c r="K97" s="2"/>
      <c r="L97" s="2"/>
      <c r="M97" s="2"/>
      <c r="N97" s="11"/>
      <c r="O97" s="7"/>
      <c r="P97" s="37" t="s">
        <v>46</v>
      </c>
      <c r="Q97" s="38">
        <f>N96+SUM(Q93:Q96)</f>
        <v>0</v>
      </c>
    </row>
    <row r="98" spans="1:17" hidden="1" outlineLevel="1">
      <c r="A98" s="3" t="s">
        <v>32</v>
      </c>
      <c r="B98" s="10"/>
      <c r="C98" s="10"/>
      <c r="D98" s="10"/>
      <c r="E98" s="10"/>
      <c r="F98" s="10"/>
      <c r="G98" s="10"/>
      <c r="H98" s="10"/>
      <c r="I98" s="10"/>
      <c r="J98" s="10"/>
      <c r="K98" s="10"/>
      <c r="L98" s="10"/>
      <c r="M98" s="10"/>
      <c r="N98" s="30">
        <f>SUM(B98:M98)</f>
        <v>0</v>
      </c>
      <c r="O98" s="7"/>
    </row>
    <row r="99" spans="1:17" hidden="1" outlineLevel="1">
      <c r="A99" s="3" t="s">
        <v>31</v>
      </c>
      <c r="B99" s="10"/>
      <c r="C99" s="10"/>
      <c r="D99" s="10"/>
      <c r="E99" s="10"/>
      <c r="F99" s="10"/>
      <c r="G99" s="10"/>
      <c r="H99" s="10"/>
      <c r="I99" s="10"/>
      <c r="J99" s="10"/>
      <c r="K99" s="10"/>
      <c r="L99" s="10"/>
      <c r="M99" s="10"/>
      <c r="N99" s="30">
        <f>SUM(B99:M99)</f>
        <v>0</v>
      </c>
      <c r="O99" s="7"/>
    </row>
    <row r="100" spans="1:17" hidden="1" outlineLevel="1">
      <c r="B100" s="2"/>
      <c r="C100" s="2"/>
      <c r="D100" s="2"/>
      <c r="E100" s="2"/>
      <c r="F100" s="2"/>
      <c r="G100" s="2"/>
      <c r="H100" s="2"/>
      <c r="I100" s="2"/>
      <c r="J100" s="2"/>
      <c r="K100" s="2"/>
      <c r="L100" s="2"/>
      <c r="M100" s="2"/>
      <c r="N100" s="4"/>
      <c r="O100" s="7"/>
    </row>
    <row r="101" spans="1:17" collapsed="1"/>
  </sheetData>
  <mergeCells count="13">
    <mergeCell ref="P10:Q10"/>
    <mergeCell ref="P65:Q65"/>
    <mergeCell ref="P56:Q56"/>
    <mergeCell ref="P47:Q47"/>
    <mergeCell ref="P38:Q38"/>
    <mergeCell ref="P29:Q29"/>
    <mergeCell ref="P20:Q20"/>
    <mergeCell ref="P11:Q11"/>
    <mergeCell ref="R24:V25"/>
    <mergeCell ref="R51:V52"/>
    <mergeCell ref="P74:Q74"/>
    <mergeCell ref="P83:Q83"/>
    <mergeCell ref="P92:Q92"/>
  </mergeCells>
  <conditionalFormatting sqref="B69:M72 B24:M26 P12:P16 P21:P25 P30:P34 P39:P43 P48:P52 P57:P61 P66:P70 P75:P79 P84:P88 P93:P97 B63:M63 B42:M45 B33:M36 B51:M54 B60:M61 B15:M18">
    <cfRule type="cellIs" dxfId="10" priority="79" operator="lessThan">
      <formula>-1</formula>
    </cfRule>
  </conditionalFormatting>
  <conditionalFormatting sqref="A9">
    <cfRule type="cellIs" dxfId="9" priority="74" operator="notEqual">
      <formula>"Totals match sum of column N"</formula>
    </cfRule>
  </conditionalFormatting>
  <conditionalFormatting sqref="B78:M81">
    <cfRule type="cellIs" dxfId="8" priority="25" operator="lessThan">
      <formula>-1</formula>
    </cfRule>
  </conditionalFormatting>
  <conditionalFormatting sqref="B87:M90">
    <cfRule type="cellIs" dxfId="7" priority="22" operator="lessThan">
      <formula>-1</formula>
    </cfRule>
  </conditionalFormatting>
  <conditionalFormatting sqref="B96:M99">
    <cfRule type="cellIs" dxfId="6" priority="19" operator="lessThan">
      <formula>-1</formula>
    </cfRule>
  </conditionalFormatting>
  <conditionalFormatting sqref="B62:M62">
    <cfRule type="cellIs" dxfId="5" priority="2" operator="lessThan">
      <formula>-1</formula>
    </cfRule>
  </conditionalFormatting>
  <conditionalFormatting sqref="B27:M27">
    <cfRule type="cellIs" dxfId="4" priority="1" operator="lessThan">
      <formula>-1</formula>
    </cfRule>
  </conditionalFormatting>
  <dataValidations count="3">
    <dataValidation type="decimal" operator="greaterThanOrEqual" allowBlank="1" showInputMessage="1" showErrorMessage="1" errorTitle="Invalid Entry" error="Enter amounts as positive numbers in the appropriate row (as a credit or debit to the account)." sqref="C93:M95 B62:M63 B98:M99 B58:B59 B40:B41 C21:M23 B26:M27 B53:M54 C57:M59 B71:M72 B49:B50 B13:B14 C30:M32 C12:M14 B94:B95 C48:M50 B31:B32 B35:M36 B44:M45 B67:B68 B22:B23 C75:M77 B80:M81 C66:M68 C84:M86 B89:M90 B76:B77 B85:B86 C39:M41 B17:M18">
      <formula1>0</formula1>
    </dataValidation>
    <dataValidation type="decimal" operator="lessThanOrEqual" allowBlank="1" showInputMessage="1" showErrorMessage="1" errorTitle="Input needs to be NEGATIVE" error="This amount should be entered as a negative number" sqref="Q31 Q58 Q49 Q40 Q13 Q15 Q24 Q22 Q33 Q42 Q51 Q60 Q69 Q67 Q76 Q78 Q85 Q87 Q94 Q96">
      <formula1>0</formula1>
    </dataValidation>
    <dataValidation type="decimal" operator="greaterThanOrEqual" allowBlank="1" showInputMessage="1" showErrorMessage="1" errorTitle="Input should be POSITIVE" error="The amount should be entered as a positive number." sqref="Q30 Q57 Q68 Q59 Q48 Q66 Q50 Q39 Q23 Q41 Q12 Q32 Q14 Q21 Q75 Q77 Q84 Q86 Q93 Q95">
      <formula1>0</formula1>
    </dataValidation>
  </dataValidations>
  <pageMargins left="0.7" right="0.7" top="0.75" bottom="0.75" header="0.3" footer="0.3"/>
  <pageSetup scale="67"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E17"/>
  <sheetViews>
    <sheetView showGridLines="0" workbookViewId="0">
      <selection activeCell="B19" sqref="B19"/>
    </sheetView>
  </sheetViews>
  <sheetFormatPr defaultColWidth="8.85546875" defaultRowHeight="12.75"/>
  <cols>
    <col min="1" max="1" width="12.5703125" style="42" customWidth="1"/>
    <col min="2" max="2" width="40.7109375" style="42" bestFit="1" customWidth="1"/>
    <col min="3" max="3" width="34.42578125" style="42" customWidth="1"/>
    <col min="4" max="4" width="18.28515625" style="42" bestFit="1" customWidth="1"/>
    <col min="5" max="5" width="45.7109375" style="42" customWidth="1"/>
    <col min="6" max="16384" width="8.85546875" style="42"/>
  </cols>
  <sheetData>
    <row r="1" spans="1:5">
      <c r="A1" s="40" t="s">
        <v>51</v>
      </c>
      <c r="B1" s="41" t="s">
        <v>52</v>
      </c>
    </row>
    <row r="2" spans="1:5">
      <c r="A2" s="40" t="s">
        <v>53</v>
      </c>
      <c r="B2" s="41" t="s">
        <v>54</v>
      </c>
    </row>
    <row r="3" spans="1:5">
      <c r="A3" s="40"/>
      <c r="B3" s="85" t="s">
        <v>70</v>
      </c>
    </row>
    <row r="5" spans="1:5">
      <c r="A5" s="53" t="s">
        <v>55</v>
      </c>
      <c r="B5" s="53" t="s">
        <v>56</v>
      </c>
      <c r="C5" s="53" t="s">
        <v>57</v>
      </c>
      <c r="D5" s="53" t="s">
        <v>58</v>
      </c>
      <c r="E5" s="53" t="s">
        <v>34</v>
      </c>
    </row>
    <row r="6" spans="1:5" ht="38.25">
      <c r="A6" s="86" t="s">
        <v>177</v>
      </c>
      <c r="B6" s="86" t="s">
        <v>178</v>
      </c>
      <c r="C6" s="145" t="s">
        <v>381</v>
      </c>
      <c r="D6" s="63">
        <v>425</v>
      </c>
      <c r="E6" s="87"/>
    </row>
    <row r="7" spans="1:5" ht="51">
      <c r="A7" s="86" t="s">
        <v>179</v>
      </c>
      <c r="B7" s="86" t="s">
        <v>180</v>
      </c>
      <c r="C7" s="145" t="s">
        <v>382</v>
      </c>
      <c r="D7" s="63">
        <v>1260</v>
      </c>
      <c r="E7" s="87"/>
    </row>
    <row r="8" spans="1:5">
      <c r="A8" s="86" t="s">
        <v>177</v>
      </c>
      <c r="B8" s="86" t="s">
        <v>181</v>
      </c>
      <c r="C8" s="145" t="s">
        <v>182</v>
      </c>
      <c r="D8" s="63">
        <v>5000</v>
      </c>
      <c r="E8" s="87"/>
    </row>
    <row r="9" spans="1:5" ht="25.5">
      <c r="A9" s="86" t="s">
        <v>183</v>
      </c>
      <c r="B9" s="86" t="s">
        <v>184</v>
      </c>
      <c r="C9" s="145" t="s">
        <v>185</v>
      </c>
      <c r="D9" s="63">
        <v>1500</v>
      </c>
      <c r="E9" s="87"/>
    </row>
    <row r="10" spans="1:5" ht="25.5">
      <c r="A10" s="86" t="s">
        <v>177</v>
      </c>
      <c r="B10" s="86" t="s">
        <v>186</v>
      </c>
      <c r="C10" s="146" t="s">
        <v>187</v>
      </c>
      <c r="D10" s="63">
        <v>3000</v>
      </c>
      <c r="E10" s="87"/>
    </row>
    <row r="11" spans="1:5" ht="25.5">
      <c r="A11" s="86" t="s">
        <v>177</v>
      </c>
      <c r="B11" s="86" t="s">
        <v>188</v>
      </c>
      <c r="C11" s="145" t="s">
        <v>189</v>
      </c>
      <c r="D11" s="63">
        <v>100</v>
      </c>
      <c r="E11" s="87"/>
    </row>
    <row r="12" spans="1:5" ht="25.5">
      <c r="A12" s="86" t="s">
        <v>177</v>
      </c>
      <c r="B12" s="88" t="s">
        <v>190</v>
      </c>
      <c r="C12" s="145" t="s">
        <v>191</v>
      </c>
      <c r="D12" s="63">
        <v>3800</v>
      </c>
      <c r="E12" s="87"/>
    </row>
    <row r="13" spans="1:5">
      <c r="A13" s="86" t="s">
        <v>177</v>
      </c>
      <c r="B13" s="86" t="s">
        <v>192</v>
      </c>
      <c r="C13" s="145" t="s">
        <v>193</v>
      </c>
      <c r="D13" s="63">
        <v>200</v>
      </c>
      <c r="E13" s="87"/>
    </row>
    <row r="14" spans="1:5">
      <c r="A14" s="86"/>
      <c r="B14" s="86"/>
      <c r="C14" s="88"/>
      <c r="D14" s="63"/>
      <c r="E14" s="87"/>
    </row>
    <row r="15" spans="1:5">
      <c r="A15" s="86"/>
      <c r="B15" s="86"/>
      <c r="C15" s="88"/>
      <c r="D15" s="63"/>
      <c r="E15" s="87"/>
    </row>
    <row r="16" spans="1:5" ht="13.5" thickBot="1">
      <c r="D16" s="43">
        <f>SUM(D6:D15)</f>
        <v>15285</v>
      </c>
    </row>
    <row r="17" ht="13.5" thickTop="1"/>
  </sheetData>
  <hyperlinks>
    <hyperlink ref="B3" r:id="rId1"/>
  </hyperlinks>
  <pageMargins left="0.7" right="0.7" top="0.75" bottom="0.75" header="0.3" footer="0.3"/>
  <pageSetup scale="60" orientation="portrait"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B2:V32"/>
  <sheetViews>
    <sheetView showGridLines="0" workbookViewId="0">
      <selection activeCell="H27" sqref="H27"/>
    </sheetView>
  </sheetViews>
  <sheetFormatPr defaultRowHeight="12.75"/>
  <cols>
    <col min="2" max="2" width="25.28515625" bestFit="1" customWidth="1"/>
    <col min="3" max="7" width="12" bestFit="1" customWidth="1"/>
    <col min="8" max="8" width="12" style="155" bestFit="1" customWidth="1"/>
    <col min="9" max="15" width="12" bestFit="1" customWidth="1"/>
  </cols>
  <sheetData>
    <row r="2" spans="2:21">
      <c r="D2" s="327" t="s">
        <v>206</v>
      </c>
      <c r="E2" s="327"/>
      <c r="F2" s="327"/>
      <c r="G2" s="327"/>
      <c r="H2" s="327"/>
      <c r="I2" s="327"/>
      <c r="J2" s="327"/>
      <c r="K2" s="327"/>
      <c r="L2" s="327"/>
    </row>
    <row r="3" spans="2:21">
      <c r="D3" s="327"/>
      <c r="E3" s="327"/>
      <c r="F3" s="327"/>
      <c r="G3" s="327"/>
      <c r="H3" s="327"/>
      <c r="I3" s="327"/>
      <c r="J3" s="327"/>
      <c r="K3" s="327"/>
      <c r="L3" s="327"/>
    </row>
    <row r="4" spans="2:21">
      <c r="D4" s="327"/>
      <c r="E4" s="327"/>
      <c r="F4" s="327"/>
      <c r="G4" s="327"/>
      <c r="H4" s="327"/>
      <c r="I4" s="327"/>
      <c r="J4" s="327"/>
      <c r="K4" s="327"/>
      <c r="L4" s="327"/>
    </row>
    <row r="6" spans="2:21">
      <c r="B6" s="20" t="s">
        <v>201</v>
      </c>
      <c r="C6" s="169" t="s">
        <v>0</v>
      </c>
      <c r="D6" s="169" t="s">
        <v>1</v>
      </c>
      <c r="E6" s="169" t="s">
        <v>2</v>
      </c>
      <c r="F6" s="169" t="s">
        <v>3</v>
      </c>
      <c r="G6" s="169" t="s">
        <v>4</v>
      </c>
      <c r="H6" s="169" t="s">
        <v>5</v>
      </c>
      <c r="I6" s="169" t="s">
        <v>6</v>
      </c>
      <c r="J6" s="169" t="s">
        <v>7</v>
      </c>
      <c r="K6" s="169" t="s">
        <v>8</v>
      </c>
      <c r="L6" s="169" t="s">
        <v>9</v>
      </c>
      <c r="M6" s="169" t="s">
        <v>10</v>
      </c>
      <c r="N6" s="169" t="s">
        <v>11</v>
      </c>
      <c r="O6" s="22"/>
    </row>
    <row r="7" spans="2:21">
      <c r="B7" s="1" t="s">
        <v>12</v>
      </c>
      <c r="C7" s="10">
        <v>81407.09</v>
      </c>
      <c r="D7" s="29">
        <v>71389.09</v>
      </c>
      <c r="E7" s="29">
        <v>63124.09</v>
      </c>
      <c r="F7" s="29">
        <v>54677.26</v>
      </c>
      <c r="G7" s="29">
        <v>59654.26</v>
      </c>
      <c r="H7" s="29">
        <v>63838.09</v>
      </c>
      <c r="I7" s="29">
        <v>61199.09</v>
      </c>
      <c r="J7" s="29">
        <v>57974.09</v>
      </c>
      <c r="K7" s="29">
        <v>52152.639999999999</v>
      </c>
      <c r="L7" s="29">
        <v>49153.54</v>
      </c>
      <c r="M7" s="29">
        <v>31384.04</v>
      </c>
      <c r="N7" s="29">
        <v>28441.54</v>
      </c>
      <c r="O7" s="30">
        <f>C7</f>
        <v>81407.09</v>
      </c>
      <c r="P7" s="327" t="s">
        <v>253</v>
      </c>
      <c r="Q7" s="327"/>
      <c r="R7" s="327"/>
      <c r="S7" s="327"/>
      <c r="T7" s="327"/>
      <c r="U7" s="327"/>
    </row>
    <row r="8" spans="2:21" ht="12.75" customHeight="1">
      <c r="B8" s="9" t="s">
        <v>14</v>
      </c>
      <c r="C8" s="10">
        <v>34271.69</v>
      </c>
      <c r="D8" s="10">
        <v>34890.870000000003</v>
      </c>
      <c r="E8" s="10">
        <v>41732.379999999997</v>
      </c>
      <c r="F8" s="10">
        <v>39994.480000000003</v>
      </c>
      <c r="G8" s="10">
        <v>35400.339999999997</v>
      </c>
      <c r="H8" s="10">
        <v>31451.200000000001</v>
      </c>
      <c r="I8" s="10">
        <v>42124.31</v>
      </c>
      <c r="J8" s="10">
        <v>32459.61</v>
      </c>
      <c r="K8" s="10">
        <v>35034.06</v>
      </c>
      <c r="L8" s="10">
        <v>41125.040000000001</v>
      </c>
      <c r="M8" s="10">
        <v>31080.33</v>
      </c>
      <c r="N8" s="10">
        <v>40260.74</v>
      </c>
      <c r="O8" s="30">
        <f>SUM(C8:N8)</f>
        <v>439825.05</v>
      </c>
      <c r="P8" s="327"/>
      <c r="Q8" s="327"/>
      <c r="R8" s="327"/>
      <c r="S8" s="327"/>
      <c r="T8" s="327"/>
      <c r="U8" s="327"/>
    </row>
    <row r="9" spans="2:21">
      <c r="B9" s="9" t="s">
        <v>74</v>
      </c>
      <c r="C9" s="10">
        <v>44289.69</v>
      </c>
      <c r="D9" s="10">
        <v>43155.87</v>
      </c>
      <c r="E9" s="10">
        <v>50179.21</v>
      </c>
      <c r="F9" s="10">
        <v>35017.480000000003</v>
      </c>
      <c r="G9" s="10">
        <v>31216.51</v>
      </c>
      <c r="H9" s="10">
        <v>34090.199999999997</v>
      </c>
      <c r="I9" s="10">
        <v>45349.31</v>
      </c>
      <c r="J9" s="10">
        <v>38281.06</v>
      </c>
      <c r="K9" s="10">
        <v>38033.129999999997</v>
      </c>
      <c r="L9" s="10">
        <v>58894.54</v>
      </c>
      <c r="M9" s="10">
        <v>34022.83</v>
      </c>
      <c r="N9" s="10">
        <v>39853.24</v>
      </c>
      <c r="O9" s="30">
        <f>SUM(C9:N9)</f>
        <v>492383.07</v>
      </c>
      <c r="P9" s="327"/>
      <c r="Q9" s="327"/>
      <c r="R9" s="327"/>
      <c r="S9" s="327"/>
      <c r="T9" s="327"/>
      <c r="U9" s="327"/>
    </row>
    <row r="10" spans="2:21">
      <c r="B10" s="3" t="s">
        <v>13</v>
      </c>
      <c r="C10" s="31">
        <f t="shared" ref="C10:N10" si="0">C7+C8-C9</f>
        <v>71389.09</v>
      </c>
      <c r="D10" s="31">
        <f t="shared" si="0"/>
        <v>63124.089999999989</v>
      </c>
      <c r="E10" s="31">
        <f t="shared" si="0"/>
        <v>54677.26</v>
      </c>
      <c r="F10" s="31">
        <f t="shared" si="0"/>
        <v>59654.26</v>
      </c>
      <c r="G10" s="31">
        <f t="shared" si="0"/>
        <v>63838.090000000011</v>
      </c>
      <c r="H10" s="31">
        <f t="shared" si="0"/>
        <v>61199.09</v>
      </c>
      <c r="I10" s="31">
        <f>I7+I8-I9</f>
        <v>57974.09</v>
      </c>
      <c r="J10" s="31">
        <f t="shared" si="0"/>
        <v>52152.639999999999</v>
      </c>
      <c r="K10" s="31">
        <f t="shared" si="0"/>
        <v>49153.57</v>
      </c>
      <c r="L10" s="31">
        <f t="shared" si="0"/>
        <v>31384.04</v>
      </c>
      <c r="M10" s="31">
        <f t="shared" si="0"/>
        <v>28441.54</v>
      </c>
      <c r="N10" s="31">
        <f t="shared" si="0"/>
        <v>28849.040000000001</v>
      </c>
      <c r="O10" s="30">
        <f>N10</f>
        <v>28849.040000000001</v>
      </c>
      <c r="P10" s="327"/>
      <c r="Q10" s="327"/>
      <c r="R10" s="327"/>
      <c r="S10" s="327"/>
      <c r="T10" s="327"/>
      <c r="U10" s="327"/>
    </row>
    <row r="11" spans="2:21">
      <c r="B11" s="3"/>
      <c r="C11" s="2"/>
      <c r="D11" s="2"/>
      <c r="E11" s="2"/>
      <c r="F11" s="2"/>
      <c r="G11" s="2"/>
      <c r="H11" s="2"/>
      <c r="I11" s="2"/>
      <c r="J11" s="2"/>
      <c r="K11" s="2"/>
      <c r="L11" s="2"/>
      <c r="M11" s="2"/>
      <c r="N11" s="2"/>
      <c r="O11" s="11"/>
      <c r="P11" s="327"/>
      <c r="Q11" s="327"/>
      <c r="R11" s="327"/>
      <c r="S11" s="327"/>
      <c r="T11" s="327"/>
      <c r="U11" s="327"/>
    </row>
    <row r="12" spans="2:21">
      <c r="B12" s="3" t="s">
        <v>32</v>
      </c>
      <c r="C12" s="10">
        <v>0</v>
      </c>
      <c r="D12" s="10">
        <v>0</v>
      </c>
      <c r="E12" s="10">
        <v>0</v>
      </c>
      <c r="F12" s="10">
        <v>0</v>
      </c>
      <c r="G12" s="10">
        <v>0</v>
      </c>
      <c r="H12" s="10">
        <v>0</v>
      </c>
      <c r="I12" s="10">
        <v>0</v>
      </c>
      <c r="J12" s="10">
        <v>0</v>
      </c>
      <c r="K12" s="10">
        <v>0</v>
      </c>
      <c r="L12" s="10">
        <v>0</v>
      </c>
      <c r="M12" s="10">
        <v>0</v>
      </c>
      <c r="N12" s="10">
        <v>0</v>
      </c>
      <c r="O12" s="30">
        <f>SUM(C12:N12)</f>
        <v>0</v>
      </c>
    </row>
    <row r="13" spans="2:21">
      <c r="B13" s="3" t="s">
        <v>31</v>
      </c>
      <c r="C13" s="10">
        <v>40539.69</v>
      </c>
      <c r="D13" s="10">
        <v>39055.870000000003</v>
      </c>
      <c r="E13" s="10">
        <v>41625.21</v>
      </c>
      <c r="F13" s="10">
        <v>31797.48</v>
      </c>
      <c r="G13" s="10">
        <v>29625.34</v>
      </c>
      <c r="H13" s="10">
        <v>29190.2</v>
      </c>
      <c r="I13" s="10">
        <v>42799.31</v>
      </c>
      <c r="J13" s="10">
        <v>35468.879999999997</v>
      </c>
      <c r="K13" s="10">
        <v>33794.06</v>
      </c>
      <c r="L13" s="10">
        <v>34101.040000000001</v>
      </c>
      <c r="M13" s="10">
        <v>30152.83</v>
      </c>
      <c r="N13" s="10">
        <v>35805.39</v>
      </c>
      <c r="O13" s="30">
        <f>SUM(C13:N13)</f>
        <v>423955.3</v>
      </c>
      <c r="P13" s="258" t="s">
        <v>254</v>
      </c>
    </row>
    <row r="16" spans="2:21">
      <c r="B16" s="20" t="s">
        <v>202</v>
      </c>
      <c r="C16" s="21"/>
      <c r="D16" s="21"/>
      <c r="E16" s="21"/>
      <c r="F16" s="21"/>
      <c r="G16" s="21"/>
      <c r="H16" s="21"/>
      <c r="I16" s="21"/>
      <c r="J16" s="21"/>
      <c r="K16" s="21"/>
      <c r="L16" s="21"/>
      <c r="M16" s="21"/>
      <c r="N16" s="21"/>
      <c r="O16" s="22"/>
    </row>
    <row r="17" spans="2:22">
      <c r="B17" s="1" t="s">
        <v>12</v>
      </c>
      <c r="C17" s="10">
        <v>72732.479999999996</v>
      </c>
      <c r="D17" s="29">
        <v>19666.32</v>
      </c>
      <c r="E17" s="29">
        <v>91426.64</v>
      </c>
      <c r="F17" s="29">
        <v>121997.02</v>
      </c>
      <c r="G17" s="29">
        <v>135758.44</v>
      </c>
      <c r="H17" s="29">
        <v>149622.70000000001</v>
      </c>
      <c r="I17" s="29">
        <v>60832.05</v>
      </c>
      <c r="J17" s="29">
        <v>76925.45</v>
      </c>
      <c r="K17" s="29">
        <v>149579.68</v>
      </c>
      <c r="L17" s="29">
        <v>15715.15</v>
      </c>
      <c r="M17" s="29">
        <v>32419.77</v>
      </c>
      <c r="N17" s="29">
        <v>46267.040000000001</v>
      </c>
      <c r="O17" s="30">
        <f>C17</f>
        <v>72732.479999999996</v>
      </c>
    </row>
    <row r="18" spans="2:22">
      <c r="B18" s="9" t="s">
        <v>14</v>
      </c>
      <c r="C18" s="10">
        <v>2035004.35</v>
      </c>
      <c r="D18" s="10">
        <v>71856.320000000007</v>
      </c>
      <c r="E18" s="10">
        <v>30624.38</v>
      </c>
      <c r="F18" s="10">
        <v>13815.42</v>
      </c>
      <c r="G18" s="10">
        <v>13918.26</v>
      </c>
      <c r="H18" s="10">
        <v>3236683.72</v>
      </c>
      <c r="I18" s="10">
        <v>16259.4</v>
      </c>
      <c r="J18" s="10">
        <v>72710.23</v>
      </c>
      <c r="K18" s="10">
        <v>1527623.16</v>
      </c>
      <c r="L18" s="10">
        <v>16802.62</v>
      </c>
      <c r="M18" s="10">
        <v>13903.27</v>
      </c>
      <c r="N18" s="10">
        <v>81082.559999999998</v>
      </c>
      <c r="O18" s="30">
        <f>SUM(C18:N18)</f>
        <v>7130283.6899999995</v>
      </c>
    </row>
    <row r="19" spans="2:22">
      <c r="B19" s="9" t="s">
        <v>74</v>
      </c>
      <c r="C19" s="10">
        <v>2088070.51</v>
      </c>
      <c r="D19" s="10">
        <v>96</v>
      </c>
      <c r="E19" s="10">
        <v>54</v>
      </c>
      <c r="F19" s="10">
        <v>54</v>
      </c>
      <c r="G19" s="10">
        <v>54</v>
      </c>
      <c r="H19" s="10">
        <v>3325474.37</v>
      </c>
      <c r="I19" s="10">
        <v>166</v>
      </c>
      <c r="J19" s="10">
        <v>56</v>
      </c>
      <c r="K19" s="10">
        <v>1661487.69</v>
      </c>
      <c r="L19" s="10">
        <v>96</v>
      </c>
      <c r="M19" s="10">
        <v>56</v>
      </c>
      <c r="N19" s="10">
        <v>56</v>
      </c>
      <c r="O19" s="30">
        <f>SUM(C19:N19)</f>
        <v>7075720.5700000003</v>
      </c>
      <c r="P19" s="158"/>
      <c r="Q19" s="158"/>
      <c r="R19" s="158"/>
      <c r="S19" s="158"/>
      <c r="T19" s="158"/>
      <c r="U19" s="158"/>
      <c r="V19" s="158"/>
    </row>
    <row r="20" spans="2:22">
      <c r="B20" s="3" t="s">
        <v>13</v>
      </c>
      <c r="C20" s="31">
        <f t="shared" ref="C20:N20" si="1">C17+C18-C19</f>
        <v>19666.320000000065</v>
      </c>
      <c r="D20" s="31">
        <f t="shared" si="1"/>
        <v>91426.640000000014</v>
      </c>
      <c r="E20" s="31">
        <f t="shared" si="1"/>
        <v>121997.02</v>
      </c>
      <c r="F20" s="31">
        <f t="shared" si="1"/>
        <v>135758.44</v>
      </c>
      <c r="G20" s="31">
        <f t="shared" si="1"/>
        <v>149622.70000000001</v>
      </c>
      <c r="H20" s="31">
        <f t="shared" si="1"/>
        <v>60832.050000000279</v>
      </c>
      <c r="I20" s="31">
        <f t="shared" si="1"/>
        <v>76925.45</v>
      </c>
      <c r="J20" s="31">
        <f t="shared" si="1"/>
        <v>149579.68</v>
      </c>
      <c r="K20" s="31">
        <f t="shared" si="1"/>
        <v>15715.149999999907</v>
      </c>
      <c r="L20" s="31">
        <f t="shared" si="1"/>
        <v>32421.769999999997</v>
      </c>
      <c r="M20" s="31">
        <f t="shared" si="1"/>
        <v>46267.040000000001</v>
      </c>
      <c r="N20" s="31">
        <f t="shared" si="1"/>
        <v>127293.6</v>
      </c>
      <c r="O20" s="30">
        <f>N20</f>
        <v>127293.6</v>
      </c>
      <c r="P20" s="158"/>
      <c r="Q20" s="158"/>
      <c r="R20" s="158"/>
      <c r="S20" s="158"/>
      <c r="T20" s="158"/>
      <c r="U20" s="158"/>
      <c r="V20" s="158"/>
    </row>
    <row r="21" spans="2:22">
      <c r="B21" s="3"/>
      <c r="C21" s="2"/>
      <c r="D21" s="2"/>
      <c r="E21" s="2"/>
      <c r="F21" s="2"/>
      <c r="G21" s="2"/>
      <c r="H21" s="2"/>
      <c r="I21" s="2"/>
      <c r="J21" s="2"/>
      <c r="K21" s="2"/>
      <c r="L21" s="2"/>
      <c r="M21" s="2"/>
      <c r="N21" s="2"/>
      <c r="O21" s="11"/>
      <c r="P21" s="158"/>
      <c r="Q21" s="158"/>
      <c r="R21" s="158"/>
      <c r="S21" s="158"/>
      <c r="T21" s="158"/>
      <c r="U21" s="158"/>
      <c r="V21" s="158"/>
    </row>
    <row r="22" spans="2:22">
      <c r="B22" s="3" t="s">
        <v>32</v>
      </c>
      <c r="C22" s="10">
        <v>2029328</v>
      </c>
      <c r="D22" s="10">
        <v>0</v>
      </c>
      <c r="E22" s="10"/>
      <c r="F22" s="10"/>
      <c r="G22" s="10"/>
      <c r="H22" s="10">
        <v>3208914</v>
      </c>
      <c r="I22" s="10"/>
      <c r="J22" s="10"/>
      <c r="K22" s="10">
        <v>1562473.5</v>
      </c>
      <c r="L22" s="10"/>
      <c r="M22" s="10"/>
      <c r="N22" s="10"/>
      <c r="O22" s="30">
        <f>SUM(C22:N22)</f>
        <v>6800715.5</v>
      </c>
      <c r="P22" s="164"/>
      <c r="Q22" s="158"/>
      <c r="R22" s="158"/>
      <c r="S22" s="158"/>
      <c r="T22" s="158"/>
      <c r="U22" s="158"/>
      <c r="V22" s="158"/>
    </row>
    <row r="23" spans="2:22">
      <c r="B23" s="3" t="s">
        <v>31</v>
      </c>
      <c r="C23" s="10">
        <v>2081347.46</v>
      </c>
      <c r="D23" s="10">
        <v>0</v>
      </c>
      <c r="E23" s="10"/>
      <c r="F23" s="10"/>
      <c r="G23" s="10"/>
      <c r="H23" s="10">
        <v>3281251.2</v>
      </c>
      <c r="I23" s="10"/>
      <c r="J23" s="10"/>
      <c r="K23" s="10">
        <v>1661197.43</v>
      </c>
      <c r="L23" s="10"/>
      <c r="M23" s="10"/>
      <c r="N23" s="10"/>
      <c r="O23" s="30">
        <f>SUM(C23:N23)</f>
        <v>7023796.0899999999</v>
      </c>
      <c r="P23" s="158"/>
      <c r="Q23" s="158"/>
      <c r="R23" s="158"/>
      <c r="S23" s="158"/>
      <c r="T23" s="158"/>
      <c r="U23" s="158"/>
      <c r="V23" s="158"/>
    </row>
    <row r="24" spans="2:22">
      <c r="B24" s="1"/>
      <c r="C24" s="2"/>
      <c r="D24" s="2"/>
      <c r="E24" s="2"/>
      <c r="F24" s="2"/>
      <c r="G24" s="2"/>
      <c r="H24" s="2"/>
      <c r="I24" s="2"/>
      <c r="J24" s="2"/>
      <c r="K24" s="2"/>
      <c r="L24" s="2"/>
      <c r="M24" s="2"/>
      <c r="N24" s="2"/>
      <c r="O24" s="4"/>
      <c r="P24" s="158"/>
      <c r="Q24" s="158"/>
      <c r="R24" s="158"/>
      <c r="S24" s="158"/>
      <c r="T24" s="158"/>
      <c r="U24" s="158"/>
      <c r="V24" s="158"/>
    </row>
    <row r="25" spans="2:22">
      <c r="B25" s="20" t="s">
        <v>203</v>
      </c>
      <c r="C25" s="21"/>
      <c r="D25" s="21"/>
      <c r="E25" s="21"/>
      <c r="F25" s="21"/>
      <c r="G25" s="21"/>
      <c r="H25" s="21"/>
      <c r="I25" s="21"/>
      <c r="J25" s="21"/>
      <c r="K25" s="21"/>
      <c r="L25" s="21"/>
      <c r="M25" s="21"/>
      <c r="N25" s="21"/>
      <c r="O25" s="22"/>
      <c r="P25" s="158"/>
      <c r="Q25" s="158"/>
      <c r="R25" s="158"/>
      <c r="S25" s="158"/>
      <c r="T25" s="158"/>
      <c r="U25" s="158"/>
      <c r="V25" s="158"/>
    </row>
    <row r="26" spans="2:22">
      <c r="B26" s="1" t="s">
        <v>12</v>
      </c>
      <c r="C26" s="29">
        <v>27703352.329999998</v>
      </c>
      <c r="D26" s="29">
        <f t="shared" ref="D26:N26" si="2">C29</f>
        <v>27755371.789999999</v>
      </c>
      <c r="E26" s="29">
        <f t="shared" si="2"/>
        <v>27755371.789999999</v>
      </c>
      <c r="F26" s="29">
        <f t="shared" si="2"/>
        <v>27755371.789999999</v>
      </c>
      <c r="G26" s="29">
        <f t="shared" si="2"/>
        <v>27755371.789999999</v>
      </c>
      <c r="H26" s="29">
        <f t="shared" si="2"/>
        <v>27755371.789999999</v>
      </c>
      <c r="I26" s="29">
        <f t="shared" si="2"/>
        <v>28977708.989999998</v>
      </c>
      <c r="J26" s="29">
        <f t="shared" si="2"/>
        <v>28977708.989999998</v>
      </c>
      <c r="K26" s="29">
        <f t="shared" si="2"/>
        <v>28977708.989999998</v>
      </c>
      <c r="L26" s="29">
        <f t="shared" si="2"/>
        <v>29076432.919999998</v>
      </c>
      <c r="M26" s="29">
        <f t="shared" si="2"/>
        <v>29076432.919999998</v>
      </c>
      <c r="N26" s="29">
        <f t="shared" si="2"/>
        <v>29076432.919999998</v>
      </c>
      <c r="O26" s="30">
        <f>C26</f>
        <v>27703352.329999998</v>
      </c>
      <c r="P26" s="158"/>
      <c r="Q26" s="158"/>
      <c r="R26" s="158"/>
      <c r="S26" s="158"/>
      <c r="T26" s="158"/>
      <c r="U26" s="158"/>
      <c r="V26" s="158"/>
    </row>
    <row r="27" spans="2:22">
      <c r="B27" s="9" t="s">
        <v>14</v>
      </c>
      <c r="C27" s="10">
        <v>2081347.46</v>
      </c>
      <c r="D27" s="10"/>
      <c r="E27" s="10"/>
      <c r="F27" s="10"/>
      <c r="G27" s="10"/>
      <c r="H27" s="10">
        <v>3281251.2</v>
      </c>
      <c r="I27" s="10"/>
      <c r="J27" s="10"/>
      <c r="K27" s="10">
        <v>1661197.43</v>
      </c>
      <c r="L27" s="10"/>
      <c r="M27" s="10"/>
      <c r="N27" s="10"/>
      <c r="O27" s="30">
        <f>SUM(C27:N27)</f>
        <v>7023796.0899999999</v>
      </c>
      <c r="P27" s="158"/>
      <c r="Q27" s="158"/>
      <c r="R27" s="158"/>
      <c r="S27" s="158"/>
      <c r="T27" s="158"/>
      <c r="U27" s="158"/>
      <c r="V27" s="158"/>
    </row>
    <row r="28" spans="2:22">
      <c r="B28" s="9" t="s">
        <v>74</v>
      </c>
      <c r="C28" s="10">
        <v>2029328</v>
      </c>
      <c r="D28" s="10"/>
      <c r="E28" s="10"/>
      <c r="F28" s="10"/>
      <c r="G28" s="10"/>
      <c r="H28" s="10">
        <v>2058914</v>
      </c>
      <c r="I28" s="10"/>
      <c r="J28" s="10"/>
      <c r="K28" s="10">
        <v>1562473.5</v>
      </c>
      <c r="L28" s="10"/>
      <c r="M28" s="10"/>
      <c r="N28" s="10"/>
      <c r="O28" s="30">
        <f>SUM(C28:N28)</f>
        <v>5650715.5</v>
      </c>
      <c r="P28" s="158"/>
      <c r="Q28" s="158"/>
      <c r="R28" s="158"/>
      <c r="S28" s="158"/>
      <c r="T28" s="158"/>
      <c r="U28" s="158"/>
      <c r="V28" s="158"/>
    </row>
    <row r="29" spans="2:22">
      <c r="B29" s="3" t="s">
        <v>13</v>
      </c>
      <c r="C29" s="31">
        <f t="shared" ref="C29:N29" si="3">C26+C27-C28</f>
        <v>27755371.789999999</v>
      </c>
      <c r="D29" s="31">
        <f t="shared" si="3"/>
        <v>27755371.789999999</v>
      </c>
      <c r="E29" s="31">
        <f t="shared" si="3"/>
        <v>27755371.789999999</v>
      </c>
      <c r="F29" s="31">
        <f t="shared" si="3"/>
        <v>27755371.789999999</v>
      </c>
      <c r="G29" s="31">
        <f t="shared" si="3"/>
        <v>27755371.789999999</v>
      </c>
      <c r="H29" s="31">
        <f t="shared" si="3"/>
        <v>28977708.989999998</v>
      </c>
      <c r="I29" s="31">
        <f t="shared" si="3"/>
        <v>28977708.989999998</v>
      </c>
      <c r="J29" s="31">
        <f t="shared" si="3"/>
        <v>28977708.989999998</v>
      </c>
      <c r="K29" s="31">
        <f t="shared" si="3"/>
        <v>29076432.919999998</v>
      </c>
      <c r="L29" s="31">
        <f t="shared" si="3"/>
        <v>29076432.919999998</v>
      </c>
      <c r="M29" s="31">
        <f t="shared" si="3"/>
        <v>29076432.919999998</v>
      </c>
      <c r="N29" s="31">
        <f t="shared" si="3"/>
        <v>29076432.919999998</v>
      </c>
      <c r="O29" s="30">
        <f>N29</f>
        <v>29076432.919999998</v>
      </c>
      <c r="P29" s="158"/>
      <c r="Q29" s="158"/>
      <c r="R29" s="158"/>
      <c r="S29" s="158"/>
      <c r="T29" s="158"/>
      <c r="U29" s="158"/>
      <c r="V29" s="158"/>
    </row>
    <row r="30" spans="2:22">
      <c r="B30" s="3"/>
      <c r="C30" s="2"/>
      <c r="D30" s="2"/>
      <c r="E30" s="2"/>
      <c r="F30" s="2"/>
      <c r="G30" s="2"/>
      <c r="H30" s="2"/>
      <c r="I30" s="2"/>
      <c r="J30" s="2"/>
      <c r="K30" s="2"/>
      <c r="L30" s="2"/>
      <c r="M30" s="2"/>
      <c r="N30" s="2"/>
      <c r="O30" s="11"/>
    </row>
    <row r="31" spans="2:22">
      <c r="B31" s="3" t="s">
        <v>32</v>
      </c>
      <c r="C31" s="10"/>
      <c r="D31" s="10"/>
      <c r="E31" s="10"/>
      <c r="F31" s="10"/>
      <c r="G31" s="10"/>
      <c r="H31" s="10"/>
      <c r="I31" s="10"/>
      <c r="J31" s="10"/>
      <c r="K31" s="10"/>
      <c r="L31" s="10"/>
      <c r="M31" s="10"/>
      <c r="N31" s="10"/>
      <c r="O31" s="30">
        <f>SUM(C31:N31)</f>
        <v>0</v>
      </c>
      <c r="P31" s="164"/>
    </row>
    <row r="32" spans="2:22">
      <c r="B32" s="3" t="s">
        <v>31</v>
      </c>
      <c r="C32" s="10"/>
      <c r="D32" s="10"/>
      <c r="E32" s="10"/>
      <c r="F32" s="10"/>
      <c r="G32" s="10"/>
      <c r="H32" s="10"/>
      <c r="I32" s="10"/>
      <c r="J32" s="10"/>
      <c r="K32" s="10"/>
      <c r="L32" s="10"/>
      <c r="M32" s="10"/>
      <c r="N32" s="10"/>
      <c r="O32" s="30">
        <f>SUM(C32:N32)</f>
        <v>0</v>
      </c>
    </row>
  </sheetData>
  <mergeCells count="2">
    <mergeCell ref="D2:L4"/>
    <mergeCell ref="P7:U11"/>
  </mergeCells>
  <conditionalFormatting sqref="C11:N13">
    <cfRule type="cellIs" dxfId="3" priority="7" operator="lessThan">
      <formula>-1</formula>
    </cfRule>
  </conditionalFormatting>
  <conditionalFormatting sqref="C10:N10">
    <cfRule type="cellIs" dxfId="2" priority="4" operator="lessThan">
      <formula>-1</formula>
    </cfRule>
  </conditionalFormatting>
  <conditionalFormatting sqref="C20:N23">
    <cfRule type="cellIs" dxfId="1" priority="2" operator="lessThan">
      <formula>-1</formula>
    </cfRule>
  </conditionalFormatting>
  <conditionalFormatting sqref="C29:N32">
    <cfRule type="cellIs" dxfId="0" priority="1" operator="lessThan">
      <formula>-1</formula>
    </cfRule>
  </conditionalFormatting>
  <dataValidations count="1">
    <dataValidation type="decimal" operator="greaterThanOrEqual" allowBlank="1" showInputMessage="1" showErrorMessage="1" errorTitle="Invalid Entry" error="Enter amounts as positive numbers in the appropriate row (as a credit or debit to the account)." sqref="D17:N19 C12:N13 D7:N9 C8:C9 C18:C19 C22:N23 C26:N28 C31:N32">
      <formula1>0</formula1>
    </dataValidation>
  </dataValidations>
  <pageMargins left="0.7" right="0.7" top="0.75" bottom="0.75" header="0.3" footer="0.3"/>
  <pageSetup scale="49"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D141"/>
  <sheetViews>
    <sheetView topLeftCell="A55" workbookViewId="0">
      <selection activeCell="E93" sqref="E93"/>
    </sheetView>
  </sheetViews>
  <sheetFormatPr defaultRowHeight="12.75"/>
  <cols>
    <col min="1" max="1" width="13.42578125" style="188" customWidth="1"/>
    <col min="2" max="2" width="10.28515625" style="191" bestFit="1" customWidth="1"/>
    <col min="3" max="3" width="14.140625" bestFit="1" customWidth="1"/>
    <col min="4" max="4" width="12.7109375" customWidth="1"/>
  </cols>
  <sheetData>
    <row r="1" spans="1:3">
      <c r="A1" s="190" t="s">
        <v>361</v>
      </c>
      <c r="C1" t="s">
        <v>388</v>
      </c>
    </row>
    <row r="3" spans="1:3">
      <c r="A3" s="189"/>
    </row>
    <row r="4" spans="1:3">
      <c r="A4" s="189">
        <v>44935</v>
      </c>
      <c r="B4" s="191">
        <v>187.48</v>
      </c>
      <c r="C4" t="s">
        <v>383</v>
      </c>
    </row>
    <row r="5" spans="1:3">
      <c r="A5" s="189">
        <v>44939</v>
      </c>
      <c r="B5" s="191">
        <v>146.22999999999999</v>
      </c>
      <c r="C5" t="s">
        <v>383</v>
      </c>
    </row>
    <row r="6" spans="1:3">
      <c r="A6" s="189">
        <v>44943</v>
      </c>
      <c r="B6" s="191">
        <v>1009.95</v>
      </c>
      <c r="C6" t="s">
        <v>384</v>
      </c>
    </row>
    <row r="7" spans="1:3">
      <c r="A7" s="189">
        <v>44945</v>
      </c>
      <c r="B7" s="191">
        <v>673.19</v>
      </c>
      <c r="C7" t="s">
        <v>384</v>
      </c>
    </row>
    <row r="8" spans="1:3">
      <c r="A8" s="189">
        <v>44949</v>
      </c>
      <c r="B8" s="191">
        <v>425.56</v>
      </c>
      <c r="C8" t="s">
        <v>384</v>
      </c>
    </row>
    <row r="9" spans="1:3">
      <c r="A9" s="189">
        <v>44952</v>
      </c>
      <c r="B9" s="191">
        <v>1797.49</v>
      </c>
      <c r="C9" t="s">
        <v>385</v>
      </c>
    </row>
    <row r="10" spans="1:3">
      <c r="A10" s="189">
        <v>44953</v>
      </c>
      <c r="B10" s="191">
        <v>1656.23</v>
      </c>
      <c r="C10" t="s">
        <v>385</v>
      </c>
    </row>
    <row r="11" spans="1:3">
      <c r="A11" s="189">
        <v>44956</v>
      </c>
      <c r="B11" s="191">
        <v>335.16</v>
      </c>
      <c r="C11" t="s">
        <v>384</v>
      </c>
    </row>
    <row r="12" spans="1:3">
      <c r="A12" s="189">
        <v>44958</v>
      </c>
      <c r="B12" s="191">
        <v>210.45</v>
      </c>
      <c r="C12" t="s">
        <v>384</v>
      </c>
    </row>
    <row r="13" spans="1:3">
      <c r="A13" s="189">
        <v>44963</v>
      </c>
      <c r="B13" s="191">
        <v>141.58000000000001</v>
      </c>
      <c r="C13" t="s">
        <v>384</v>
      </c>
    </row>
    <row r="14" spans="1:3">
      <c r="A14" s="189">
        <v>44971</v>
      </c>
      <c r="B14" s="191">
        <v>218.82</v>
      </c>
      <c r="C14" t="s">
        <v>384</v>
      </c>
    </row>
    <row r="15" spans="1:3">
      <c r="A15" s="189">
        <v>44974</v>
      </c>
      <c r="B15" s="191">
        <v>433.23</v>
      </c>
      <c r="C15" t="s">
        <v>384</v>
      </c>
    </row>
    <row r="16" spans="1:3">
      <c r="A16" s="189">
        <v>44981</v>
      </c>
      <c r="B16" s="191">
        <v>612.6</v>
      </c>
      <c r="C16" t="s">
        <v>384</v>
      </c>
    </row>
    <row r="17" spans="1:4">
      <c r="A17" s="189">
        <v>44985</v>
      </c>
      <c r="B17" s="191">
        <v>71.13</v>
      </c>
      <c r="C17" t="s">
        <v>385</v>
      </c>
    </row>
    <row r="18" spans="1:4">
      <c r="A18" s="189">
        <v>44985</v>
      </c>
      <c r="B18" s="191">
        <v>3088.68</v>
      </c>
      <c r="C18" t="s">
        <v>385</v>
      </c>
    </row>
    <row r="19" spans="1:4">
      <c r="A19" s="189">
        <v>44986</v>
      </c>
      <c r="B19" s="191">
        <v>379.05</v>
      </c>
      <c r="C19" t="s">
        <v>385</v>
      </c>
      <c r="D19" s="258"/>
    </row>
    <row r="20" spans="1:4">
      <c r="A20" s="189">
        <v>44994</v>
      </c>
      <c r="B20" s="191">
        <v>220.94</v>
      </c>
      <c r="C20" t="s">
        <v>385</v>
      </c>
    </row>
    <row r="21" spans="1:4">
      <c r="A21" s="189">
        <v>45000</v>
      </c>
      <c r="B21" s="191">
        <v>275</v>
      </c>
      <c r="C21" t="s">
        <v>383</v>
      </c>
    </row>
    <row r="22" spans="1:4">
      <c r="A22" s="189">
        <v>45005</v>
      </c>
      <c r="B22" s="191">
        <v>2100</v>
      </c>
      <c r="C22" t="s">
        <v>383</v>
      </c>
    </row>
    <row r="23" spans="1:4">
      <c r="A23" s="189">
        <v>45006</v>
      </c>
      <c r="B23" s="191">
        <v>3318.22</v>
      </c>
      <c r="C23" t="s">
        <v>383</v>
      </c>
    </row>
    <row r="24" spans="1:4">
      <c r="A24" s="189">
        <v>45007</v>
      </c>
      <c r="B24" s="191">
        <v>290.58</v>
      </c>
      <c r="C24" t="s">
        <v>386</v>
      </c>
    </row>
    <row r="25" spans="1:4">
      <c r="A25" s="189">
        <v>45007</v>
      </c>
      <c r="B25" s="191">
        <v>281</v>
      </c>
      <c r="C25" t="s">
        <v>383</v>
      </c>
    </row>
    <row r="26" spans="1:4">
      <c r="A26" s="189">
        <v>45008</v>
      </c>
      <c r="B26" s="191">
        <v>300</v>
      </c>
      <c r="C26" t="s">
        <v>383</v>
      </c>
    </row>
    <row r="27" spans="1:4">
      <c r="A27" s="189">
        <v>45009</v>
      </c>
      <c r="B27" s="191">
        <v>319.2</v>
      </c>
      <c r="C27" t="s">
        <v>383</v>
      </c>
    </row>
    <row r="28" spans="1:4">
      <c r="A28" s="189">
        <v>45012</v>
      </c>
      <c r="B28" s="191">
        <v>346.75</v>
      </c>
      <c r="C28" t="s">
        <v>385</v>
      </c>
    </row>
    <row r="29" spans="1:4">
      <c r="A29" s="189">
        <v>45013</v>
      </c>
      <c r="B29" s="191">
        <v>247.28</v>
      </c>
      <c r="C29" t="s">
        <v>385</v>
      </c>
    </row>
    <row r="30" spans="1:4">
      <c r="A30" s="189">
        <v>45013</v>
      </c>
      <c r="B30" s="191">
        <v>686.7</v>
      </c>
      <c r="C30" t="s">
        <v>385</v>
      </c>
    </row>
    <row r="31" spans="1:4">
      <c r="A31" s="189">
        <v>45014</v>
      </c>
      <c r="B31" s="191">
        <v>401.27</v>
      </c>
      <c r="C31" t="s">
        <v>385</v>
      </c>
    </row>
    <row r="32" spans="1:4">
      <c r="A32" s="189">
        <v>45030</v>
      </c>
      <c r="B32" s="191">
        <v>369.19</v>
      </c>
      <c r="C32" t="s">
        <v>383</v>
      </c>
    </row>
    <row r="33" spans="1:3">
      <c r="A33" s="189">
        <v>45042</v>
      </c>
      <c r="B33" s="191">
        <v>613.55999999999995</v>
      </c>
      <c r="C33" t="s">
        <v>385</v>
      </c>
    </row>
    <row r="34" spans="1:3">
      <c r="A34" s="189">
        <v>45043</v>
      </c>
      <c r="B34" s="191">
        <v>355.56</v>
      </c>
      <c r="C34" t="s">
        <v>385</v>
      </c>
    </row>
    <row r="35" spans="1:3">
      <c r="A35" s="189">
        <v>45051</v>
      </c>
      <c r="B35" s="191">
        <v>264</v>
      </c>
      <c r="C35" t="s">
        <v>383</v>
      </c>
    </row>
    <row r="36" spans="1:3">
      <c r="A36" s="189">
        <v>45062</v>
      </c>
      <c r="B36" s="191">
        <v>298</v>
      </c>
      <c r="C36" t="s">
        <v>383</v>
      </c>
    </row>
    <row r="37" spans="1:3">
      <c r="A37" s="189">
        <v>45072</v>
      </c>
      <c r="B37" s="191">
        <v>353.46</v>
      </c>
      <c r="C37" t="s">
        <v>385</v>
      </c>
    </row>
    <row r="38" spans="1:3">
      <c r="A38" s="189">
        <v>45076</v>
      </c>
      <c r="B38" s="191">
        <v>2026.74</v>
      </c>
      <c r="C38" t="s">
        <v>385</v>
      </c>
    </row>
    <row r="39" spans="1:3">
      <c r="A39" s="189">
        <v>45092</v>
      </c>
      <c r="B39" s="191">
        <v>80</v>
      </c>
      <c r="C39" t="s">
        <v>387</v>
      </c>
    </row>
    <row r="40" spans="1:3">
      <c r="A40" s="189">
        <v>45092</v>
      </c>
      <c r="B40" s="191">
        <v>305.02</v>
      </c>
      <c r="C40" t="s">
        <v>383</v>
      </c>
    </row>
    <row r="41" spans="1:3">
      <c r="A41" s="189">
        <v>45093</v>
      </c>
      <c r="B41" s="191">
        <v>250</v>
      </c>
      <c r="C41" t="s">
        <v>383</v>
      </c>
    </row>
    <row r="42" spans="1:3">
      <c r="A42" s="189">
        <v>45098</v>
      </c>
      <c r="B42" s="191">
        <v>176.57</v>
      </c>
      <c r="C42" t="s">
        <v>383</v>
      </c>
    </row>
    <row r="43" spans="1:3">
      <c r="A43" s="189">
        <v>45104</v>
      </c>
      <c r="B43" s="191">
        <v>126.16</v>
      </c>
      <c r="C43" t="s">
        <v>385</v>
      </c>
    </row>
    <row r="44" spans="1:3">
      <c r="A44" s="189">
        <v>45104</v>
      </c>
      <c r="B44" s="191">
        <v>633.91999999999996</v>
      </c>
      <c r="C44" t="s">
        <v>385</v>
      </c>
    </row>
    <row r="45" spans="1:3">
      <c r="A45" s="189">
        <v>45105</v>
      </c>
      <c r="B45" s="191">
        <v>258.01</v>
      </c>
      <c r="C45" t="s">
        <v>385</v>
      </c>
    </row>
    <row r="46" spans="1:3">
      <c r="A46" s="189">
        <v>45126</v>
      </c>
      <c r="B46" s="191">
        <v>276.51</v>
      </c>
      <c r="C46" t="s">
        <v>383</v>
      </c>
    </row>
    <row r="47" spans="1:3">
      <c r="A47" s="189">
        <v>45133</v>
      </c>
      <c r="B47" s="191">
        <v>323.07</v>
      </c>
      <c r="C47" t="s">
        <v>385</v>
      </c>
    </row>
    <row r="48" spans="1:3">
      <c r="A48" s="189">
        <v>45134</v>
      </c>
      <c r="B48" s="191">
        <v>649.05999999999995</v>
      </c>
      <c r="C48" t="s">
        <v>385</v>
      </c>
    </row>
    <row r="49" spans="1:3">
      <c r="A49" s="189">
        <v>45134</v>
      </c>
      <c r="B49" s="191">
        <v>46</v>
      </c>
      <c r="C49" t="s">
        <v>383</v>
      </c>
    </row>
    <row r="50" spans="1:3">
      <c r="A50" s="189">
        <v>45135</v>
      </c>
      <c r="B50" s="191">
        <v>70</v>
      </c>
      <c r="C50" t="s">
        <v>383</v>
      </c>
    </row>
    <row r="51" spans="1:3">
      <c r="A51" s="189">
        <v>45155</v>
      </c>
      <c r="B51" s="191">
        <v>20.68</v>
      </c>
      <c r="C51" t="s">
        <v>383</v>
      </c>
    </row>
    <row r="52" spans="1:3">
      <c r="A52" s="189">
        <v>45161</v>
      </c>
      <c r="B52" s="191">
        <v>342.95</v>
      </c>
      <c r="C52" t="s">
        <v>383</v>
      </c>
    </row>
    <row r="53" spans="1:3">
      <c r="A53" s="189">
        <v>45166</v>
      </c>
      <c r="B53" s="191">
        <v>591.34</v>
      </c>
      <c r="C53" t="s">
        <v>385</v>
      </c>
    </row>
    <row r="54" spans="1:3">
      <c r="A54" s="189">
        <v>45166</v>
      </c>
      <c r="B54" s="191">
        <v>3751</v>
      </c>
      <c r="C54" t="s">
        <v>383</v>
      </c>
    </row>
    <row r="55" spans="1:3">
      <c r="A55" s="189">
        <v>45167</v>
      </c>
      <c r="B55" s="191">
        <v>751.22</v>
      </c>
      <c r="C55" t="s">
        <v>385</v>
      </c>
    </row>
    <row r="56" spans="1:3">
      <c r="A56" s="189">
        <v>45187</v>
      </c>
      <c r="B56" s="191">
        <v>341</v>
      </c>
      <c r="C56" t="s">
        <v>383</v>
      </c>
    </row>
    <row r="57" spans="1:3">
      <c r="A57" s="189">
        <v>45194</v>
      </c>
      <c r="B57" s="191">
        <v>237</v>
      </c>
      <c r="C57" t="s">
        <v>383</v>
      </c>
    </row>
    <row r="58" spans="1:3">
      <c r="A58" s="189">
        <v>45194</v>
      </c>
      <c r="B58" s="191">
        <v>11930.21</v>
      </c>
      <c r="C58" t="s">
        <v>383</v>
      </c>
    </row>
    <row r="59" spans="1:3">
      <c r="A59" s="189">
        <v>45195</v>
      </c>
      <c r="B59" s="191">
        <v>227.2</v>
      </c>
      <c r="C59" t="s">
        <v>385</v>
      </c>
    </row>
    <row r="60" spans="1:3">
      <c r="A60" s="189">
        <v>45196</v>
      </c>
      <c r="B60" s="191">
        <v>715.35</v>
      </c>
      <c r="C60" t="s">
        <v>385</v>
      </c>
    </row>
    <row r="61" spans="1:3">
      <c r="A61" s="189">
        <v>45201</v>
      </c>
      <c r="B61" s="191">
        <v>700</v>
      </c>
      <c r="C61" t="s">
        <v>383</v>
      </c>
    </row>
    <row r="62" spans="1:3">
      <c r="A62" s="189">
        <v>45211</v>
      </c>
      <c r="B62" s="191">
        <f>702.56+92.72</f>
        <v>795.28</v>
      </c>
      <c r="C62" t="s">
        <v>383</v>
      </c>
    </row>
    <row r="63" spans="1:3">
      <c r="A63" s="189">
        <v>45212</v>
      </c>
      <c r="B63" s="191">
        <v>194.83</v>
      </c>
      <c r="C63" t="s">
        <v>383</v>
      </c>
    </row>
    <row r="64" spans="1:3">
      <c r="A64" s="189">
        <v>45218</v>
      </c>
      <c r="B64" s="191">
        <v>326.01</v>
      </c>
      <c r="C64" t="s">
        <v>383</v>
      </c>
    </row>
    <row r="65" spans="1:3">
      <c r="A65" s="189">
        <v>45224</v>
      </c>
      <c r="B65" s="191">
        <v>183.11</v>
      </c>
      <c r="C65" t="s">
        <v>385</v>
      </c>
    </row>
    <row r="66" spans="1:3">
      <c r="A66" s="189">
        <v>45225</v>
      </c>
      <c r="B66" s="191">
        <f>105.02+854.2</f>
        <v>959.22</v>
      </c>
      <c r="C66" t="s">
        <v>385</v>
      </c>
    </row>
    <row r="67" spans="1:3">
      <c r="A67" s="189">
        <v>45226</v>
      </c>
      <c r="B67" s="191">
        <v>597.5</v>
      </c>
      <c r="C67" t="s">
        <v>385</v>
      </c>
    </row>
    <row r="68" spans="1:3">
      <c r="A68" s="189">
        <v>45229</v>
      </c>
      <c r="B68" s="191">
        <v>67.849999999999994</v>
      </c>
      <c r="C68" t="s">
        <v>383</v>
      </c>
    </row>
    <row r="69" spans="1:3">
      <c r="A69" s="189">
        <v>45233</v>
      </c>
      <c r="B69" s="191">
        <v>205.15</v>
      </c>
      <c r="C69" t="s">
        <v>383</v>
      </c>
    </row>
    <row r="70" spans="1:3">
      <c r="A70" s="189">
        <v>45238</v>
      </c>
      <c r="B70" s="191">
        <v>21.18</v>
      </c>
      <c r="C70" t="s">
        <v>383</v>
      </c>
    </row>
    <row r="71" spans="1:3">
      <c r="A71" s="189">
        <v>45247</v>
      </c>
      <c r="B71" s="191">
        <v>79.55</v>
      </c>
      <c r="C71" t="s">
        <v>383</v>
      </c>
    </row>
    <row r="72" spans="1:3">
      <c r="A72" s="189">
        <v>45252</v>
      </c>
      <c r="B72" s="191">
        <v>164.25</v>
      </c>
      <c r="C72" t="s">
        <v>383</v>
      </c>
    </row>
    <row r="73" spans="1:3">
      <c r="A73" s="189">
        <v>45257</v>
      </c>
      <c r="B73" s="191">
        <v>425</v>
      </c>
      <c r="C73" t="s">
        <v>383</v>
      </c>
    </row>
    <row r="74" spans="1:3">
      <c r="A74" s="189">
        <v>45258</v>
      </c>
      <c r="B74" s="191">
        <v>179.99</v>
      </c>
      <c r="C74" t="s">
        <v>385</v>
      </c>
    </row>
    <row r="75" spans="1:3">
      <c r="A75" s="189">
        <v>45259</v>
      </c>
      <c r="B75" s="191">
        <v>916.37</v>
      </c>
      <c r="C75" t="s">
        <v>385</v>
      </c>
    </row>
    <row r="76" spans="1:3">
      <c r="A76" s="189">
        <v>45267</v>
      </c>
      <c r="B76" s="191">
        <v>76.2</v>
      </c>
      <c r="C76" t="s">
        <v>383</v>
      </c>
    </row>
    <row r="77" spans="1:3">
      <c r="A77" s="189">
        <v>45287</v>
      </c>
      <c r="B77" s="191">
        <v>1863.76</v>
      </c>
      <c r="C77" t="s">
        <v>385</v>
      </c>
    </row>
    <row r="78" spans="1:3">
      <c r="A78" s="189">
        <v>45288</v>
      </c>
      <c r="B78" s="191">
        <v>670.83</v>
      </c>
      <c r="C78" t="s">
        <v>385</v>
      </c>
    </row>
    <row r="79" spans="1:3" ht="13.5" thickBot="1">
      <c r="A79" s="189" t="s">
        <v>216</v>
      </c>
      <c r="B79" s="192">
        <f>SUM(B4:B78)</f>
        <v>54982.630000000005</v>
      </c>
    </row>
    <row r="80" spans="1:3" ht="13.5" thickTop="1">
      <c r="A80" s="189"/>
    </row>
    <row r="81" spans="1:1">
      <c r="A81" s="189"/>
    </row>
    <row r="82" spans="1:1">
      <c r="A82" s="189"/>
    </row>
    <row r="83" spans="1:1">
      <c r="A83" s="189"/>
    </row>
    <row r="84" spans="1:1">
      <c r="A84" s="189"/>
    </row>
    <row r="85" spans="1:1">
      <c r="A85" s="189"/>
    </row>
    <row r="86" spans="1:1">
      <c r="A86" s="189"/>
    </row>
    <row r="87" spans="1:1">
      <c r="A87" s="189"/>
    </row>
    <row r="88" spans="1:1">
      <c r="A88" s="189"/>
    </row>
    <row r="89" spans="1:1" ht="15" customHeight="1">
      <c r="A89" s="189"/>
    </row>
    <row r="90" spans="1:1" ht="15" customHeight="1">
      <c r="A90" s="189"/>
    </row>
    <row r="91" spans="1:1" ht="15" customHeight="1">
      <c r="A91" s="189"/>
    </row>
    <row r="92" spans="1:1" ht="15" customHeight="1">
      <c r="A92" s="189"/>
    </row>
    <row r="93" spans="1:1" ht="15" customHeight="1">
      <c r="A93" s="189"/>
    </row>
    <row r="94" spans="1:1" ht="15" customHeight="1">
      <c r="A94" s="189"/>
    </row>
    <row r="95" spans="1:1" ht="15" customHeight="1">
      <c r="A95" s="189"/>
    </row>
    <row r="96" spans="1:1" ht="15" customHeight="1">
      <c r="A96" s="189"/>
    </row>
    <row r="97" spans="1:1" ht="15" customHeight="1">
      <c r="A97" s="189"/>
    </row>
    <row r="98" spans="1:1" ht="15" customHeight="1">
      <c r="A98" s="189"/>
    </row>
    <row r="99" spans="1:1" ht="15" customHeight="1">
      <c r="A99" s="189"/>
    </row>
    <row r="100" spans="1:1" ht="15" customHeight="1">
      <c r="A100" s="189"/>
    </row>
    <row r="101" spans="1:1" ht="15" customHeight="1">
      <c r="A101" s="189"/>
    </row>
    <row r="102" spans="1:1" ht="15" customHeight="1">
      <c r="A102" s="189"/>
    </row>
    <row r="103" spans="1:1" ht="15" customHeight="1">
      <c r="A103" s="189"/>
    </row>
    <row r="104" spans="1:1" ht="15" customHeight="1">
      <c r="A104" s="189"/>
    </row>
    <row r="105" spans="1:1" ht="15" customHeight="1">
      <c r="A105" s="189"/>
    </row>
    <row r="106" spans="1:1" ht="15" customHeight="1">
      <c r="A106" s="189"/>
    </row>
    <row r="107" spans="1:1" ht="15" customHeight="1">
      <c r="A107" s="189"/>
    </row>
    <row r="108" spans="1:1" ht="15" customHeight="1">
      <c r="A108" s="189"/>
    </row>
    <row r="109" spans="1:1" ht="15" customHeight="1">
      <c r="A109" s="189"/>
    </row>
    <row r="110" spans="1:1" ht="15" customHeight="1">
      <c r="A110" s="189"/>
    </row>
    <row r="111" spans="1:1" ht="15" customHeight="1">
      <c r="A111" s="189"/>
    </row>
    <row r="112" spans="1:1" ht="15" customHeight="1">
      <c r="A112" s="189"/>
    </row>
    <row r="113" spans="1:1" ht="15" customHeight="1">
      <c r="A113" s="189"/>
    </row>
    <row r="114" spans="1:1" ht="15" customHeight="1">
      <c r="A114" s="189"/>
    </row>
    <row r="115" spans="1:1" ht="15" customHeight="1">
      <c r="A115" s="189"/>
    </row>
    <row r="116" spans="1:1" ht="15" customHeight="1">
      <c r="A116" s="189"/>
    </row>
    <row r="117" spans="1:1" ht="15" customHeight="1">
      <c r="A117" s="189"/>
    </row>
    <row r="118" spans="1:1" ht="15" customHeight="1">
      <c r="A118" s="189"/>
    </row>
    <row r="119" spans="1:1" ht="15" customHeight="1">
      <c r="A119" s="189"/>
    </row>
    <row r="120" spans="1:1" ht="15" customHeight="1">
      <c r="A120" s="189"/>
    </row>
    <row r="121" spans="1:1" ht="15" customHeight="1">
      <c r="A121" s="189"/>
    </row>
    <row r="122" spans="1:1" ht="15" customHeight="1">
      <c r="A122" s="189"/>
    </row>
    <row r="123" spans="1:1" ht="15" customHeight="1">
      <c r="A123" s="189"/>
    </row>
    <row r="124" spans="1:1" ht="15" customHeight="1">
      <c r="A124" s="189"/>
    </row>
    <row r="125" spans="1:1" ht="15" customHeight="1">
      <c r="A125" s="189"/>
    </row>
    <row r="126" spans="1:1" ht="15" customHeight="1">
      <c r="A126" s="189"/>
    </row>
    <row r="127" spans="1:1" ht="15" customHeight="1">
      <c r="A127" s="189"/>
    </row>
    <row r="128" spans="1:1" ht="15" customHeight="1">
      <c r="A128" s="189"/>
    </row>
    <row r="129" spans="1:2" ht="15" customHeight="1">
      <c r="A129" s="189"/>
    </row>
    <row r="130" spans="1:2" ht="15" customHeight="1">
      <c r="A130" s="189"/>
    </row>
    <row r="131" spans="1:2" ht="15" customHeight="1">
      <c r="A131" s="189"/>
    </row>
    <row r="132" spans="1:2" ht="15" customHeight="1">
      <c r="A132" s="189"/>
    </row>
    <row r="133" spans="1:2" ht="15" customHeight="1">
      <c r="A133" s="189"/>
    </row>
    <row r="134" spans="1:2" ht="15" customHeight="1">
      <c r="A134" s="189"/>
    </row>
    <row r="135" spans="1:2" ht="15" customHeight="1">
      <c r="A135" s="189"/>
    </row>
    <row r="136" spans="1:2" ht="15" customHeight="1">
      <c r="A136" s="189"/>
    </row>
    <row r="137" spans="1:2" ht="15" customHeight="1">
      <c r="A137" s="189"/>
    </row>
    <row r="138" spans="1:2" ht="15" customHeight="1">
      <c r="A138" s="189"/>
    </row>
    <row r="139" spans="1:2" ht="15" customHeight="1">
      <c r="A139" s="189"/>
    </row>
    <row r="140" spans="1:2" ht="13.5" thickBot="1">
      <c r="A140" s="188" t="s">
        <v>216</v>
      </c>
      <c r="B140" s="192">
        <f>SUM(B3:B139)</f>
        <v>109965.26000000001</v>
      </c>
    </row>
    <row r="141" spans="1:2" ht="13.5" thickTop="1"/>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E29"/>
  <sheetViews>
    <sheetView workbookViewId="0">
      <selection activeCell="E29" sqref="E29"/>
    </sheetView>
  </sheetViews>
  <sheetFormatPr defaultRowHeight="12.75"/>
  <cols>
    <col min="1" max="1" width="12.7109375" style="188" customWidth="1"/>
    <col min="2" max="2" width="10.85546875" style="188" bestFit="1" customWidth="1"/>
    <col min="3" max="3" width="10.7109375" style="191" customWidth="1"/>
    <col min="4" max="4" width="11.7109375" style="188" customWidth="1"/>
    <col min="5" max="5" width="45.5703125" style="188" bestFit="1" customWidth="1"/>
  </cols>
  <sheetData>
    <row r="1" spans="1:5">
      <c r="A1" s="190" t="s">
        <v>360</v>
      </c>
      <c r="B1" s="190"/>
    </row>
    <row r="2" spans="1:5" ht="12" customHeight="1">
      <c r="A2" s="190"/>
      <c r="B2" s="190"/>
    </row>
    <row r="3" spans="1:5" ht="12" customHeight="1">
      <c r="A3" s="263" t="s">
        <v>262</v>
      </c>
      <c r="B3" s="263" t="s">
        <v>263</v>
      </c>
      <c r="C3" s="264" t="s">
        <v>264</v>
      </c>
      <c r="D3" s="263" t="s">
        <v>265</v>
      </c>
      <c r="E3" s="263" t="s">
        <v>266</v>
      </c>
    </row>
    <row r="4" spans="1:5">
      <c r="A4" s="188">
        <v>40516</v>
      </c>
      <c r="B4" s="189">
        <v>44953</v>
      </c>
      <c r="C4" s="191">
        <v>200</v>
      </c>
      <c r="D4" s="188" t="s">
        <v>389</v>
      </c>
      <c r="E4" s="188" t="s">
        <v>390</v>
      </c>
    </row>
    <row r="5" spans="1:5">
      <c r="A5" s="188">
        <v>40553</v>
      </c>
      <c r="B5" s="189">
        <v>45244</v>
      </c>
      <c r="C5" s="191">
        <v>200</v>
      </c>
      <c r="D5" s="188" t="s">
        <v>391</v>
      </c>
      <c r="E5" s="188" t="s">
        <v>394</v>
      </c>
    </row>
    <row r="6" spans="1:5">
      <c r="A6" s="188">
        <v>40557</v>
      </c>
      <c r="B6" s="189">
        <v>45134</v>
      </c>
      <c r="C6" s="191">
        <v>10155.780000000001</v>
      </c>
      <c r="D6" s="188" t="s">
        <v>392</v>
      </c>
      <c r="E6" s="188" t="s">
        <v>393</v>
      </c>
    </row>
    <row r="7" spans="1:5" ht="13.5" thickBot="1">
      <c r="C7" s="192">
        <f>SUM(C4:C6)</f>
        <v>10555.78</v>
      </c>
    </row>
    <row r="8" spans="1:5" ht="13.5" thickTop="1"/>
    <row r="29" spans="5:5">
      <c r="E29" s="188" t="s">
        <v>395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35"/>
  <sheetViews>
    <sheetView zoomScale="90" zoomScaleNormal="90" workbookViewId="0">
      <pane ySplit="5" topLeftCell="A6" activePane="bottomLeft" state="frozen"/>
      <selection pane="bottomLeft" activeCell="D18" sqref="D18"/>
    </sheetView>
  </sheetViews>
  <sheetFormatPr defaultRowHeight="12.75"/>
  <cols>
    <col min="1" max="1" width="17.5703125" style="266" customWidth="1"/>
    <col min="2" max="2" width="12.42578125" style="266" customWidth="1"/>
    <col min="3" max="3" width="15.140625" style="267" customWidth="1"/>
    <col min="4" max="4" width="85.42578125" style="258" customWidth="1"/>
    <col min="5" max="5" width="17.42578125" style="268" customWidth="1"/>
    <col min="6" max="6" width="24.28515625" style="268" customWidth="1"/>
    <col min="7" max="16384" width="9.140625" style="258"/>
  </cols>
  <sheetData>
    <row r="1" spans="1:9">
      <c r="A1" s="286" t="s">
        <v>350</v>
      </c>
      <c r="I1" s="258" t="s">
        <v>346</v>
      </c>
    </row>
    <row r="2" spans="1:9">
      <c r="A2" s="287" t="s">
        <v>351</v>
      </c>
    </row>
    <row r="3" spans="1:9">
      <c r="I3" s="258" t="s">
        <v>347</v>
      </c>
    </row>
    <row r="4" spans="1:9">
      <c r="I4" s="258" t="s">
        <v>348</v>
      </c>
    </row>
    <row r="5" spans="1:9">
      <c r="A5" s="282" t="s">
        <v>267</v>
      </c>
      <c r="B5" s="282" t="s">
        <v>265</v>
      </c>
      <c r="C5" s="283" t="s">
        <v>264</v>
      </c>
      <c r="D5" s="282" t="s">
        <v>268</v>
      </c>
      <c r="E5" s="284" t="s">
        <v>269</v>
      </c>
      <c r="F5" s="284" t="s">
        <v>270</v>
      </c>
    </row>
    <row r="6" spans="1:9">
      <c r="A6" s="290"/>
      <c r="B6" s="291"/>
      <c r="C6" s="292"/>
      <c r="D6" s="295"/>
      <c r="E6" s="296"/>
      <c r="F6" s="296"/>
    </row>
    <row r="7" spans="1:9">
      <c r="A7" s="290"/>
      <c r="B7" s="291"/>
      <c r="C7" s="292"/>
      <c r="D7" s="295"/>
      <c r="E7" s="296"/>
      <c r="F7" s="296"/>
    </row>
    <row r="8" spans="1:9">
      <c r="A8" s="290"/>
      <c r="B8" s="291"/>
      <c r="C8" s="294"/>
      <c r="D8" s="295"/>
      <c r="E8" s="296"/>
      <c r="F8" s="296"/>
    </row>
    <row r="9" spans="1:9">
      <c r="A9" s="269"/>
      <c r="C9" s="273"/>
    </row>
    <row r="10" spans="1:9">
      <c r="A10" s="269"/>
      <c r="C10" s="273"/>
    </row>
    <row r="11" spans="1:9">
      <c r="A11" s="269"/>
      <c r="C11" s="273"/>
    </row>
    <row r="12" spans="1:9">
      <c r="A12" s="269"/>
      <c r="C12" s="273"/>
    </row>
    <row r="13" spans="1:9">
      <c r="A13" s="269"/>
      <c r="C13" s="273"/>
    </row>
    <row r="14" spans="1:9">
      <c r="A14" s="269"/>
      <c r="C14" s="273"/>
    </row>
    <row r="15" spans="1:9">
      <c r="A15" s="269"/>
      <c r="C15" s="273"/>
    </row>
    <row r="16" spans="1:9">
      <c r="A16" s="269"/>
      <c r="C16" s="273"/>
    </row>
    <row r="17" spans="1:3">
      <c r="A17" s="269"/>
      <c r="C17" s="273"/>
    </row>
    <row r="18" spans="1:3">
      <c r="A18" s="269"/>
      <c r="C18" s="273"/>
    </row>
    <row r="19" spans="1:3">
      <c r="A19" s="269"/>
      <c r="C19" s="273"/>
    </row>
    <row r="20" spans="1:3">
      <c r="A20" s="269"/>
      <c r="C20" s="273"/>
    </row>
    <row r="21" spans="1:3">
      <c r="A21" s="269"/>
      <c r="C21" s="273"/>
    </row>
    <row r="22" spans="1:3">
      <c r="A22" s="269"/>
      <c r="C22" s="273"/>
    </row>
    <row r="23" spans="1:3">
      <c r="A23" s="269"/>
      <c r="C23" s="273"/>
    </row>
    <row r="24" spans="1:3">
      <c r="A24" s="269"/>
      <c r="C24" s="273"/>
    </row>
    <row r="25" spans="1:3">
      <c r="A25" s="269"/>
      <c r="C25" s="273"/>
    </row>
    <row r="26" spans="1:3">
      <c r="A26" s="269"/>
      <c r="C26" s="273"/>
    </row>
    <row r="27" spans="1:3">
      <c r="A27" s="269"/>
      <c r="C27" s="273"/>
    </row>
    <row r="28" spans="1:3">
      <c r="A28" s="269"/>
      <c r="C28" s="273"/>
    </row>
    <row r="29" spans="1:3">
      <c r="A29" s="269"/>
      <c r="C29" s="273"/>
    </row>
    <row r="30" spans="1:3">
      <c r="A30" s="269"/>
      <c r="C30" s="273"/>
    </row>
    <row r="31" spans="1:3">
      <c r="A31" s="269"/>
      <c r="C31" s="273"/>
    </row>
    <row r="32" spans="1:3">
      <c r="A32" s="269"/>
      <c r="C32" s="273"/>
    </row>
    <row r="33" spans="1:3">
      <c r="A33" s="269"/>
      <c r="C33" s="273"/>
    </row>
    <row r="34" spans="1:3" ht="13.5" thickBot="1">
      <c r="A34" s="269"/>
      <c r="C34" s="285"/>
    </row>
    <row r="35" spans="1:3" ht="13.5" thickTop="1"/>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72"/>
  <sheetViews>
    <sheetView zoomScale="90" zoomScaleNormal="90" workbookViewId="0">
      <pane ySplit="4" topLeftCell="A5" activePane="bottomLeft" state="frozen"/>
      <selection pane="bottomLeft" activeCell="F41" sqref="F41"/>
    </sheetView>
  </sheetViews>
  <sheetFormatPr defaultRowHeight="12.75"/>
  <cols>
    <col min="1" max="1" width="17.5703125" style="266" customWidth="1"/>
    <col min="2" max="2" width="12.42578125" style="266" customWidth="1"/>
    <col min="3" max="3" width="15.140625" style="267" customWidth="1"/>
    <col min="4" max="4" width="85.42578125" style="258" customWidth="1"/>
    <col min="5" max="5" width="17.42578125" style="268" customWidth="1"/>
    <col min="6" max="6" width="24.28515625" style="268" customWidth="1"/>
    <col min="7" max="16384" width="9.140625" style="258"/>
  </cols>
  <sheetData>
    <row r="1" spans="1:9">
      <c r="A1" s="265" t="s">
        <v>359</v>
      </c>
      <c r="I1" s="258" t="s">
        <v>346</v>
      </c>
    </row>
    <row r="2" spans="1:9">
      <c r="I2" s="258" t="s">
        <v>347</v>
      </c>
    </row>
    <row r="3" spans="1:9">
      <c r="I3" s="258" t="s">
        <v>348</v>
      </c>
    </row>
    <row r="4" spans="1:9">
      <c r="A4" s="282" t="s">
        <v>267</v>
      </c>
      <c r="B4" s="282" t="s">
        <v>265</v>
      </c>
      <c r="C4" s="283" t="s">
        <v>264</v>
      </c>
      <c r="D4" s="282" t="s">
        <v>268</v>
      </c>
      <c r="E4" s="284" t="s">
        <v>269</v>
      </c>
      <c r="F4" s="284" t="s">
        <v>270</v>
      </c>
    </row>
    <row r="5" spans="1:9">
      <c r="A5" s="269"/>
      <c r="C5" s="270"/>
    </row>
    <row r="6" spans="1:9">
      <c r="A6" s="269"/>
      <c r="C6" s="270"/>
    </row>
    <row r="7" spans="1:9">
      <c r="A7" s="269"/>
      <c r="C7" s="270"/>
    </row>
    <row r="8" spans="1:9">
      <c r="A8" s="269"/>
      <c r="C8" s="270"/>
    </row>
    <row r="9" spans="1:9">
      <c r="A9" s="269"/>
      <c r="C9" s="270"/>
    </row>
    <row r="10" spans="1:9">
      <c r="A10" s="269"/>
      <c r="C10" s="270"/>
    </row>
    <row r="11" spans="1:9">
      <c r="A11" s="269"/>
      <c r="C11" s="270"/>
    </row>
    <row r="12" spans="1:9">
      <c r="A12" s="269"/>
      <c r="C12" s="270"/>
    </row>
    <row r="13" spans="1:9">
      <c r="A13" s="269"/>
      <c r="C13" s="270"/>
    </row>
    <row r="14" spans="1:9">
      <c r="A14" s="269"/>
      <c r="C14" s="270"/>
    </row>
    <row r="15" spans="1:9">
      <c r="A15" s="269"/>
      <c r="C15" s="270"/>
    </row>
    <row r="16" spans="1:9">
      <c r="A16" s="269"/>
      <c r="C16" s="270"/>
    </row>
    <row r="17" spans="1:3">
      <c r="A17" s="269"/>
      <c r="C17" s="270"/>
    </row>
    <row r="18" spans="1:3">
      <c r="A18" s="269"/>
      <c r="C18" s="270"/>
    </row>
    <row r="19" spans="1:3">
      <c r="A19" s="269"/>
      <c r="C19" s="270"/>
    </row>
    <row r="20" spans="1:3">
      <c r="A20" s="269"/>
      <c r="C20" s="270"/>
    </row>
    <row r="21" spans="1:3">
      <c r="A21" s="269"/>
      <c r="C21" s="270"/>
    </row>
    <row r="22" spans="1:3">
      <c r="A22" s="269"/>
      <c r="C22" s="270"/>
    </row>
    <row r="23" spans="1:3">
      <c r="A23" s="269"/>
      <c r="C23" s="270"/>
    </row>
    <row r="24" spans="1:3">
      <c r="A24" s="269"/>
      <c r="C24" s="270"/>
    </row>
    <row r="25" spans="1:3">
      <c r="A25" s="269"/>
      <c r="C25" s="270"/>
    </row>
    <row r="26" spans="1:3">
      <c r="A26" s="269"/>
      <c r="C26" s="270"/>
    </row>
    <row r="27" spans="1:3">
      <c r="A27" s="269"/>
      <c r="C27" s="270"/>
    </row>
    <row r="28" spans="1:3">
      <c r="A28" s="269"/>
      <c r="C28" s="270"/>
    </row>
    <row r="29" spans="1:3">
      <c r="A29" s="269"/>
      <c r="C29" s="270"/>
    </row>
    <row r="30" spans="1:3">
      <c r="A30" s="269"/>
      <c r="C30" s="270"/>
    </row>
    <row r="31" spans="1:3">
      <c r="A31" s="269"/>
      <c r="C31" s="270"/>
    </row>
    <row r="32" spans="1:3">
      <c r="A32" s="269"/>
      <c r="C32" s="270"/>
    </row>
    <row r="33" spans="1:3">
      <c r="A33" s="269"/>
      <c r="C33" s="270"/>
    </row>
    <row r="34" spans="1:3">
      <c r="A34" s="269"/>
      <c r="C34" s="270"/>
    </row>
    <row r="35" spans="1:3">
      <c r="A35" s="269"/>
      <c r="C35" s="270"/>
    </row>
    <row r="36" spans="1:3">
      <c r="A36" s="269"/>
      <c r="C36" s="270"/>
    </row>
    <row r="37" spans="1:3">
      <c r="A37" s="269"/>
      <c r="C37" s="270"/>
    </row>
    <row r="38" spans="1:3">
      <c r="A38" s="269"/>
      <c r="C38" s="270"/>
    </row>
    <row r="39" spans="1:3">
      <c r="A39" s="269"/>
      <c r="C39" s="270"/>
    </row>
    <row r="40" spans="1:3">
      <c r="A40" s="269"/>
      <c r="C40" s="270"/>
    </row>
    <row r="41" spans="1:3">
      <c r="A41" s="269"/>
      <c r="C41" s="270"/>
    </row>
    <row r="42" spans="1:3">
      <c r="A42" s="269"/>
      <c r="C42" s="270"/>
    </row>
    <row r="43" spans="1:3">
      <c r="A43" s="269"/>
      <c r="C43" s="270"/>
    </row>
    <row r="44" spans="1:3">
      <c r="A44" s="269"/>
      <c r="C44" s="270"/>
    </row>
    <row r="45" spans="1:3">
      <c r="A45" s="269"/>
      <c r="C45" s="270"/>
    </row>
    <row r="46" spans="1:3">
      <c r="A46" s="269"/>
      <c r="C46" s="270"/>
    </row>
    <row r="47" spans="1:3">
      <c r="A47" s="269"/>
      <c r="C47" s="270"/>
    </row>
    <row r="48" spans="1:3">
      <c r="A48" s="269"/>
      <c r="C48" s="270"/>
    </row>
    <row r="49" spans="1:3">
      <c r="A49" s="269"/>
      <c r="C49" s="270"/>
    </row>
    <row r="50" spans="1:3">
      <c r="A50" s="269"/>
      <c r="C50" s="270"/>
    </row>
    <row r="51" spans="1:3">
      <c r="A51" s="269"/>
      <c r="C51" s="270"/>
    </row>
    <row r="52" spans="1:3">
      <c r="A52" s="269"/>
      <c r="C52" s="270"/>
    </row>
    <row r="53" spans="1:3">
      <c r="A53" s="269"/>
      <c r="C53" s="270"/>
    </row>
    <row r="54" spans="1:3">
      <c r="A54" s="269"/>
      <c r="C54" s="270"/>
    </row>
    <row r="55" spans="1:3">
      <c r="A55" s="269"/>
      <c r="C55" s="270"/>
    </row>
    <row r="56" spans="1:3">
      <c r="A56" s="269"/>
      <c r="C56" s="270"/>
    </row>
    <row r="57" spans="1:3">
      <c r="A57" s="269"/>
      <c r="C57" s="270"/>
    </row>
    <row r="58" spans="1:3">
      <c r="A58" s="269"/>
      <c r="C58" s="270"/>
    </row>
    <row r="59" spans="1:3">
      <c r="A59" s="269"/>
      <c r="C59" s="270"/>
    </row>
    <row r="60" spans="1:3">
      <c r="A60" s="269"/>
      <c r="C60" s="270"/>
    </row>
    <row r="61" spans="1:3">
      <c r="A61" s="269"/>
      <c r="C61" s="270"/>
    </row>
    <row r="62" spans="1:3">
      <c r="A62" s="269"/>
      <c r="C62" s="270"/>
    </row>
    <row r="63" spans="1:3">
      <c r="A63" s="269"/>
      <c r="C63" s="270"/>
    </row>
    <row r="64" spans="1:3">
      <c r="A64" s="269"/>
      <c r="C64" s="270"/>
    </row>
    <row r="65" spans="1:6">
      <c r="A65" s="269"/>
      <c r="C65" s="270"/>
    </row>
    <row r="66" spans="1:6">
      <c r="A66" s="269"/>
      <c r="C66" s="270"/>
    </row>
    <row r="67" spans="1:6">
      <c r="A67" s="269"/>
      <c r="C67" s="270"/>
    </row>
    <row r="68" spans="1:6">
      <c r="A68" s="290"/>
      <c r="B68" s="291"/>
      <c r="C68" s="292"/>
      <c r="D68" s="295"/>
      <c r="E68" s="296"/>
      <c r="F68" s="296"/>
    </row>
    <row r="69" spans="1:6">
      <c r="A69" s="290"/>
      <c r="B69" s="291"/>
      <c r="C69" s="293"/>
      <c r="D69" s="295"/>
      <c r="E69" s="296"/>
      <c r="F69" s="296"/>
    </row>
    <row r="70" spans="1:6">
      <c r="A70" s="290"/>
      <c r="B70" s="291"/>
      <c r="C70" s="292"/>
      <c r="D70" s="295"/>
      <c r="E70" s="296"/>
      <c r="F70" s="296"/>
    </row>
    <row r="71" spans="1:6">
      <c r="A71" s="290"/>
      <c r="B71" s="291"/>
      <c r="C71" s="292"/>
      <c r="D71" s="295"/>
      <c r="E71" s="296"/>
      <c r="F71" s="296"/>
    </row>
    <row r="72" spans="1:6">
      <c r="A72" s="290"/>
      <c r="B72" s="291"/>
      <c r="C72" s="294"/>
      <c r="D72" s="295"/>
      <c r="E72" s="296"/>
      <c r="F72" s="296"/>
    </row>
    <row r="73" spans="1:6">
      <c r="A73" s="290"/>
      <c r="B73" s="291"/>
      <c r="C73" s="294"/>
      <c r="D73" s="295"/>
      <c r="E73" s="296"/>
      <c r="F73" s="296"/>
    </row>
    <row r="74" spans="1:6">
      <c r="A74" s="290"/>
      <c r="B74" s="291"/>
      <c r="C74" s="292"/>
      <c r="D74" s="295"/>
      <c r="E74" s="296"/>
      <c r="F74" s="296"/>
    </row>
    <row r="75" spans="1:6">
      <c r="A75" s="290"/>
      <c r="B75" s="291"/>
      <c r="C75" s="292"/>
      <c r="D75" s="295"/>
      <c r="E75" s="296"/>
      <c r="F75" s="296"/>
    </row>
    <row r="76" spans="1:6">
      <c r="A76" s="290"/>
      <c r="B76" s="291"/>
      <c r="C76" s="292"/>
      <c r="D76" s="295"/>
      <c r="E76" s="296"/>
      <c r="F76" s="296"/>
    </row>
    <row r="77" spans="1:6">
      <c r="A77" s="290"/>
      <c r="B77" s="291"/>
      <c r="C77" s="292"/>
      <c r="D77" s="295"/>
      <c r="E77" s="296"/>
      <c r="F77" s="296"/>
    </row>
    <row r="78" spans="1:6">
      <c r="A78" s="290"/>
      <c r="B78" s="291"/>
      <c r="C78" s="294"/>
      <c r="D78" s="295"/>
      <c r="E78" s="296"/>
      <c r="F78" s="296"/>
    </row>
    <row r="79" spans="1:6">
      <c r="A79" s="290"/>
      <c r="B79" s="291"/>
      <c r="C79" s="292"/>
      <c r="D79" s="295"/>
      <c r="E79" s="296"/>
      <c r="F79" s="296"/>
    </row>
    <row r="80" spans="1:6">
      <c r="A80" s="290"/>
      <c r="B80" s="291"/>
      <c r="C80" s="292"/>
      <c r="D80" s="295"/>
      <c r="E80" s="296"/>
      <c r="F80" s="296"/>
    </row>
    <row r="81" spans="1:6">
      <c r="A81" s="290"/>
      <c r="B81" s="291"/>
      <c r="C81" s="294"/>
      <c r="D81" s="295"/>
      <c r="E81" s="296"/>
      <c r="F81" s="296"/>
    </row>
    <row r="82" spans="1:6">
      <c r="A82" s="290"/>
      <c r="B82" s="291"/>
      <c r="C82" s="292"/>
      <c r="D82" s="295"/>
      <c r="E82" s="296"/>
      <c r="F82" s="296"/>
    </row>
    <row r="83" spans="1:6">
      <c r="A83" s="290"/>
      <c r="B83" s="291"/>
      <c r="C83" s="292"/>
      <c r="D83" s="295"/>
      <c r="E83" s="296"/>
      <c r="F83" s="296"/>
    </row>
    <row r="84" spans="1:6">
      <c r="A84" s="290"/>
      <c r="B84" s="291"/>
      <c r="C84" s="292"/>
      <c r="D84" s="295"/>
      <c r="E84" s="296"/>
      <c r="F84" s="296"/>
    </row>
    <row r="85" spans="1:6">
      <c r="A85" s="290"/>
      <c r="B85" s="291"/>
      <c r="C85" s="292"/>
      <c r="D85" s="295"/>
      <c r="E85" s="296"/>
      <c r="F85" s="296"/>
    </row>
    <row r="86" spans="1:6">
      <c r="A86" s="290"/>
      <c r="B86" s="291"/>
      <c r="C86" s="292"/>
      <c r="D86" s="295"/>
      <c r="E86" s="296"/>
      <c r="F86" s="296"/>
    </row>
    <row r="87" spans="1:6">
      <c r="A87" s="290"/>
      <c r="B87" s="291"/>
      <c r="C87" s="293"/>
      <c r="D87" s="295"/>
      <c r="E87" s="296"/>
      <c r="F87" s="296"/>
    </row>
    <row r="88" spans="1:6" ht="13.5" thickBot="1">
      <c r="A88" s="269"/>
      <c r="C88" s="285"/>
    </row>
    <row r="89" spans="1:6" ht="13.5" thickTop="1">
      <c r="A89" s="269"/>
    </row>
    <row r="90" spans="1:6">
      <c r="A90" s="269"/>
    </row>
    <row r="91" spans="1:6">
      <c r="A91" s="269"/>
    </row>
    <row r="92" spans="1:6">
      <c r="A92" s="269"/>
    </row>
    <row r="93" spans="1:6">
      <c r="A93" s="269"/>
    </row>
    <row r="94" spans="1:6">
      <c r="A94" s="269"/>
    </row>
    <row r="95" spans="1:6">
      <c r="A95" s="269"/>
    </row>
    <row r="96" spans="1:6">
      <c r="A96" s="265" t="s">
        <v>349</v>
      </c>
    </row>
    <row r="97" spans="1:7">
      <c r="A97" s="274">
        <v>44227</v>
      </c>
      <c r="B97" s="275" t="s">
        <v>273</v>
      </c>
      <c r="C97" s="271">
        <v>181.35</v>
      </c>
      <c r="D97" s="276" t="s">
        <v>272</v>
      </c>
      <c r="E97" s="277" t="s">
        <v>277</v>
      </c>
      <c r="F97" s="277" t="s">
        <v>278</v>
      </c>
      <c r="G97" s="258" t="s">
        <v>279</v>
      </c>
    </row>
    <row r="98" spans="1:7">
      <c r="A98" s="274">
        <v>44255</v>
      </c>
      <c r="B98" s="275" t="s">
        <v>274</v>
      </c>
      <c r="C98" s="271">
        <v>181.35</v>
      </c>
      <c r="D98" s="276" t="s">
        <v>272</v>
      </c>
      <c r="E98" s="277" t="s">
        <v>277</v>
      </c>
      <c r="F98" s="277" t="s">
        <v>278</v>
      </c>
      <c r="G98" s="258" t="s">
        <v>285</v>
      </c>
    </row>
    <row r="99" spans="1:7">
      <c r="A99" s="274">
        <v>44286</v>
      </c>
      <c r="B99" s="275" t="s">
        <v>275</v>
      </c>
      <c r="C99" s="271">
        <v>181.35</v>
      </c>
      <c r="D99" s="276" t="s">
        <v>272</v>
      </c>
      <c r="E99" s="277" t="s">
        <v>277</v>
      </c>
      <c r="F99" s="277" t="s">
        <v>278</v>
      </c>
    </row>
    <row r="100" spans="1:7">
      <c r="A100" s="274">
        <v>44316</v>
      </c>
      <c r="B100" s="275" t="s">
        <v>276</v>
      </c>
      <c r="C100" s="271">
        <v>181.34</v>
      </c>
      <c r="D100" s="276" t="s">
        <v>272</v>
      </c>
      <c r="E100" s="277" t="s">
        <v>277</v>
      </c>
      <c r="F100" s="277" t="s">
        <v>278</v>
      </c>
    </row>
    <row r="101" spans="1:7">
      <c r="A101" s="278"/>
      <c r="B101" s="279"/>
      <c r="C101" s="280"/>
      <c r="D101" s="272"/>
      <c r="E101" s="281"/>
      <c r="F101" s="281"/>
    </row>
    <row r="102" spans="1:7">
      <c r="A102" s="274">
        <v>44227</v>
      </c>
      <c r="B102" s="275" t="s">
        <v>280</v>
      </c>
      <c r="C102" s="271">
        <v>305.95999999999998</v>
      </c>
      <c r="D102" s="276" t="s">
        <v>283</v>
      </c>
      <c r="E102" s="277" t="s">
        <v>277</v>
      </c>
      <c r="F102" s="277" t="s">
        <v>278</v>
      </c>
      <c r="G102" s="258" t="s">
        <v>284</v>
      </c>
    </row>
    <row r="103" spans="1:7">
      <c r="A103" s="274">
        <v>44255</v>
      </c>
      <c r="B103" s="275" t="s">
        <v>281</v>
      </c>
      <c r="C103" s="271">
        <v>305.95999999999998</v>
      </c>
      <c r="D103" s="276" t="s">
        <v>283</v>
      </c>
      <c r="E103" s="277" t="s">
        <v>277</v>
      </c>
      <c r="F103" s="277" t="s">
        <v>278</v>
      </c>
      <c r="G103" s="258" t="s">
        <v>285</v>
      </c>
    </row>
    <row r="104" spans="1:7">
      <c r="A104" s="274">
        <v>44286</v>
      </c>
      <c r="B104" s="275" t="s">
        <v>282</v>
      </c>
      <c r="C104" s="271">
        <v>305.95999999999998</v>
      </c>
      <c r="D104" s="276" t="s">
        <v>283</v>
      </c>
      <c r="E104" s="277" t="s">
        <v>277</v>
      </c>
      <c r="F104" s="277" t="s">
        <v>278</v>
      </c>
    </row>
    <row r="105" spans="1:7">
      <c r="A105" s="269"/>
    </row>
    <row r="106" spans="1:7">
      <c r="A106" s="274">
        <v>44227</v>
      </c>
      <c r="B106" s="275" t="s">
        <v>286</v>
      </c>
      <c r="C106" s="271">
        <f>437.53+1009.13</f>
        <v>1446.6599999999999</v>
      </c>
      <c r="D106" s="276" t="s">
        <v>298</v>
      </c>
      <c r="E106" s="277" t="s">
        <v>277</v>
      </c>
      <c r="F106" s="277" t="s">
        <v>278</v>
      </c>
      <c r="G106" s="258" t="s">
        <v>299</v>
      </c>
    </row>
    <row r="107" spans="1:7">
      <c r="A107" s="274">
        <v>44255</v>
      </c>
      <c r="B107" s="275" t="s">
        <v>287</v>
      </c>
      <c r="C107" s="271">
        <f>644.2+536.77</f>
        <v>1180.97</v>
      </c>
      <c r="D107" s="276" t="s">
        <v>298</v>
      </c>
      <c r="E107" s="277" t="s">
        <v>277</v>
      </c>
      <c r="F107" s="277" t="s">
        <v>278</v>
      </c>
      <c r="G107" s="258" t="s">
        <v>285</v>
      </c>
    </row>
    <row r="108" spans="1:7">
      <c r="A108" s="274">
        <v>44286</v>
      </c>
      <c r="B108" s="275" t="s">
        <v>288</v>
      </c>
      <c r="C108" s="271">
        <v>1475.61</v>
      </c>
      <c r="D108" s="276" t="s">
        <v>298</v>
      </c>
      <c r="E108" s="277" t="s">
        <v>277</v>
      </c>
      <c r="F108" s="277" t="s">
        <v>278</v>
      </c>
    </row>
    <row r="109" spans="1:7">
      <c r="A109" s="274">
        <v>44316</v>
      </c>
      <c r="B109" s="275" t="s">
        <v>289</v>
      </c>
      <c r="C109" s="271">
        <f>2373.13+1251.67</f>
        <v>3624.8</v>
      </c>
      <c r="D109" s="276" t="s">
        <v>298</v>
      </c>
      <c r="E109" s="277" t="s">
        <v>277</v>
      </c>
      <c r="F109" s="277" t="s">
        <v>278</v>
      </c>
    </row>
    <row r="110" spans="1:7">
      <c r="A110" s="274">
        <v>44347</v>
      </c>
      <c r="B110" s="275" t="s">
        <v>290</v>
      </c>
      <c r="C110" s="271">
        <f>1408.62+3225.9</f>
        <v>4634.5200000000004</v>
      </c>
      <c r="D110" s="276" t="s">
        <v>298</v>
      </c>
      <c r="E110" s="277" t="s">
        <v>277</v>
      </c>
      <c r="F110" s="277" t="s">
        <v>278</v>
      </c>
    </row>
    <row r="111" spans="1:7">
      <c r="A111" s="274">
        <v>44377</v>
      </c>
      <c r="B111" s="275" t="s">
        <v>291</v>
      </c>
      <c r="C111" s="271">
        <f>887.7+2065.66</f>
        <v>2953.3599999999997</v>
      </c>
      <c r="D111" s="276" t="s">
        <v>298</v>
      </c>
      <c r="E111" s="277" t="s">
        <v>277</v>
      </c>
      <c r="F111" s="277" t="s">
        <v>278</v>
      </c>
    </row>
    <row r="112" spans="1:7">
      <c r="A112" s="274">
        <v>44408</v>
      </c>
      <c r="B112" s="275" t="s">
        <v>292</v>
      </c>
      <c r="C112" s="271">
        <v>1905.35</v>
      </c>
      <c r="D112" s="276" t="s">
        <v>298</v>
      </c>
      <c r="E112" s="277" t="s">
        <v>277</v>
      </c>
      <c r="F112" s="277" t="s">
        <v>278</v>
      </c>
    </row>
    <row r="113" spans="1:7">
      <c r="A113" s="274">
        <v>44439</v>
      </c>
      <c r="B113" s="275" t="s">
        <v>293</v>
      </c>
      <c r="C113" s="271">
        <f>678.69+2351.04</f>
        <v>3029.73</v>
      </c>
      <c r="D113" s="276" t="s">
        <v>298</v>
      </c>
      <c r="E113" s="277" t="s">
        <v>277</v>
      </c>
      <c r="F113" s="277" t="s">
        <v>278</v>
      </c>
    </row>
    <row r="114" spans="1:7">
      <c r="A114" s="274">
        <v>44469</v>
      </c>
      <c r="B114" s="275" t="s">
        <v>294</v>
      </c>
      <c r="C114" s="271">
        <f>5943.38+984.1</f>
        <v>6927.4800000000005</v>
      </c>
      <c r="D114" s="276" t="s">
        <v>298</v>
      </c>
      <c r="E114" s="277" t="s">
        <v>277</v>
      </c>
      <c r="F114" s="277" t="s">
        <v>278</v>
      </c>
    </row>
    <row r="115" spans="1:7">
      <c r="A115" s="274">
        <v>44500</v>
      </c>
      <c r="B115" s="275" t="s">
        <v>295</v>
      </c>
      <c r="C115" s="271">
        <f>2278.78+1752.23</f>
        <v>4031.01</v>
      </c>
      <c r="D115" s="276" t="s">
        <v>298</v>
      </c>
      <c r="E115" s="277" t="s">
        <v>277</v>
      </c>
      <c r="F115" s="277" t="s">
        <v>278</v>
      </c>
    </row>
    <row r="116" spans="1:7">
      <c r="A116" s="274">
        <v>44530</v>
      </c>
      <c r="B116" s="275" t="s">
        <v>296</v>
      </c>
      <c r="C116" s="271">
        <v>1287.1300000000001</v>
      </c>
      <c r="D116" s="276" t="s">
        <v>298</v>
      </c>
      <c r="E116" s="277" t="s">
        <v>277</v>
      </c>
      <c r="F116" s="277" t="s">
        <v>278</v>
      </c>
    </row>
    <row r="117" spans="1:7">
      <c r="A117" s="274">
        <v>44561</v>
      </c>
      <c r="B117" s="275" t="s">
        <v>297</v>
      </c>
      <c r="C117" s="271">
        <f>2062.84+1295.93</f>
        <v>3358.7700000000004</v>
      </c>
      <c r="D117" s="276" t="s">
        <v>298</v>
      </c>
      <c r="E117" s="277" t="s">
        <v>277</v>
      </c>
      <c r="F117" s="277" t="s">
        <v>278</v>
      </c>
    </row>
    <row r="119" spans="1:7">
      <c r="A119" s="274">
        <v>44286</v>
      </c>
      <c r="B119" s="275" t="s">
        <v>310</v>
      </c>
      <c r="C119" s="271">
        <v>21166.67</v>
      </c>
      <c r="D119" s="276" t="s">
        <v>320</v>
      </c>
      <c r="E119" s="277" t="s">
        <v>277</v>
      </c>
      <c r="F119" s="277" t="s">
        <v>271</v>
      </c>
      <c r="G119" s="258" t="s">
        <v>333</v>
      </c>
    </row>
    <row r="120" spans="1:7">
      <c r="A120" s="274">
        <v>44316</v>
      </c>
      <c r="B120" s="275" t="s">
        <v>311</v>
      </c>
      <c r="C120" s="271">
        <v>21166.67</v>
      </c>
      <c r="D120" s="276" t="s">
        <v>320</v>
      </c>
      <c r="E120" s="277" t="s">
        <v>277</v>
      </c>
      <c r="F120" s="277" t="s">
        <v>271</v>
      </c>
      <c r="G120" s="258" t="s">
        <v>285</v>
      </c>
    </row>
    <row r="121" spans="1:7">
      <c r="A121" s="274">
        <v>44347</v>
      </c>
      <c r="B121" s="275" t="s">
        <v>312</v>
      </c>
      <c r="C121" s="271">
        <v>21166.67</v>
      </c>
      <c r="D121" s="276" t="s">
        <v>320</v>
      </c>
      <c r="E121" s="277" t="s">
        <v>277</v>
      </c>
      <c r="F121" s="277" t="s">
        <v>271</v>
      </c>
    </row>
    <row r="122" spans="1:7">
      <c r="A122" s="274">
        <v>44377</v>
      </c>
      <c r="B122" s="275" t="s">
        <v>313</v>
      </c>
      <c r="C122" s="271">
        <v>21166.67</v>
      </c>
      <c r="D122" s="276" t="s">
        <v>320</v>
      </c>
      <c r="E122" s="277" t="s">
        <v>277</v>
      </c>
      <c r="F122" s="277" t="s">
        <v>271</v>
      </c>
    </row>
    <row r="123" spans="1:7">
      <c r="A123" s="274">
        <v>44408</v>
      </c>
      <c r="B123" s="275" t="s">
        <v>314</v>
      </c>
      <c r="C123" s="271">
        <v>21166.67</v>
      </c>
      <c r="D123" s="276" t="s">
        <v>320</v>
      </c>
      <c r="E123" s="277" t="s">
        <v>277</v>
      </c>
      <c r="F123" s="277" t="s">
        <v>271</v>
      </c>
    </row>
    <row r="124" spans="1:7">
      <c r="A124" s="274">
        <v>44439</v>
      </c>
      <c r="B124" s="275" t="s">
        <v>315</v>
      </c>
      <c r="C124" s="271">
        <v>21166.67</v>
      </c>
      <c r="D124" s="276" t="s">
        <v>320</v>
      </c>
      <c r="E124" s="277" t="s">
        <v>277</v>
      </c>
      <c r="F124" s="277" t="s">
        <v>271</v>
      </c>
    </row>
    <row r="125" spans="1:7">
      <c r="A125" s="274">
        <v>44469</v>
      </c>
      <c r="B125" s="275" t="s">
        <v>316</v>
      </c>
      <c r="C125" s="271">
        <v>21166.67</v>
      </c>
      <c r="D125" s="276" t="s">
        <v>320</v>
      </c>
      <c r="E125" s="277" t="s">
        <v>277</v>
      </c>
      <c r="F125" s="277" t="s">
        <v>271</v>
      </c>
    </row>
    <row r="126" spans="1:7">
      <c r="A126" s="274">
        <v>44500</v>
      </c>
      <c r="B126" s="275" t="s">
        <v>317</v>
      </c>
      <c r="C126" s="271">
        <v>21166.67</v>
      </c>
      <c r="D126" s="276" t="s">
        <v>320</v>
      </c>
      <c r="E126" s="277" t="s">
        <v>277</v>
      </c>
      <c r="F126" s="277" t="s">
        <v>271</v>
      </c>
    </row>
    <row r="127" spans="1:7">
      <c r="A127" s="274">
        <v>44530</v>
      </c>
      <c r="B127" s="275" t="s">
        <v>318</v>
      </c>
      <c r="C127" s="271">
        <v>21166.67</v>
      </c>
      <c r="D127" s="276" t="s">
        <v>320</v>
      </c>
      <c r="E127" s="277" t="s">
        <v>277</v>
      </c>
      <c r="F127" s="277" t="s">
        <v>271</v>
      </c>
    </row>
    <row r="128" spans="1:7">
      <c r="A128" s="274">
        <v>44561</v>
      </c>
      <c r="B128" s="275" t="s">
        <v>319</v>
      </c>
      <c r="C128" s="271">
        <v>20000</v>
      </c>
      <c r="D128" s="276" t="s">
        <v>320</v>
      </c>
      <c r="E128" s="277" t="s">
        <v>277</v>
      </c>
      <c r="F128" s="277" t="s">
        <v>271</v>
      </c>
    </row>
    <row r="130" spans="1:7">
      <c r="A130" s="274">
        <v>44286</v>
      </c>
      <c r="B130" s="275" t="s">
        <v>300</v>
      </c>
      <c r="C130" s="271">
        <v>17026.849999999999</v>
      </c>
      <c r="D130" s="276" t="s">
        <v>321</v>
      </c>
      <c r="E130" s="277" t="s">
        <v>277</v>
      </c>
      <c r="F130" s="277" t="s">
        <v>271</v>
      </c>
      <c r="G130" s="258" t="s">
        <v>333</v>
      </c>
    </row>
    <row r="131" spans="1:7">
      <c r="A131" s="274">
        <v>44316</v>
      </c>
      <c r="B131" s="275" t="s">
        <v>301</v>
      </c>
      <c r="C131" s="271">
        <v>17026.849999999999</v>
      </c>
      <c r="D131" s="276" t="s">
        <v>321</v>
      </c>
      <c r="E131" s="277" t="s">
        <v>277</v>
      </c>
      <c r="F131" s="277" t="s">
        <v>271</v>
      </c>
      <c r="G131" s="258" t="s">
        <v>285</v>
      </c>
    </row>
    <row r="132" spans="1:7">
      <c r="A132" s="274">
        <v>44347</v>
      </c>
      <c r="B132" s="275" t="s">
        <v>302</v>
      </c>
      <c r="C132" s="271">
        <v>17026.86</v>
      </c>
      <c r="D132" s="276" t="s">
        <v>321</v>
      </c>
      <c r="E132" s="277" t="s">
        <v>277</v>
      </c>
      <c r="F132" s="277" t="s">
        <v>271</v>
      </c>
    </row>
    <row r="133" spans="1:7">
      <c r="A133" s="274">
        <v>44377</v>
      </c>
      <c r="B133" s="275" t="s">
        <v>303</v>
      </c>
      <c r="C133" s="271">
        <v>17026.86</v>
      </c>
      <c r="D133" s="276" t="s">
        <v>321</v>
      </c>
      <c r="E133" s="277" t="s">
        <v>277</v>
      </c>
      <c r="F133" s="277" t="s">
        <v>271</v>
      </c>
    </row>
    <row r="134" spans="1:7">
      <c r="A134" s="274">
        <v>44408</v>
      </c>
      <c r="B134" s="275" t="s">
        <v>304</v>
      </c>
      <c r="C134" s="271">
        <v>20708.330000000002</v>
      </c>
      <c r="D134" s="276" t="s">
        <v>321</v>
      </c>
      <c r="E134" s="277" t="s">
        <v>277</v>
      </c>
      <c r="F134" s="277" t="s">
        <v>271</v>
      </c>
    </row>
    <row r="135" spans="1:7">
      <c r="A135" s="274">
        <v>44439</v>
      </c>
      <c r="B135" s="275" t="s">
        <v>305</v>
      </c>
      <c r="C135" s="271">
        <v>20708.330000000002</v>
      </c>
      <c r="D135" s="276" t="s">
        <v>321</v>
      </c>
      <c r="E135" s="277" t="s">
        <v>277</v>
      </c>
      <c r="F135" s="277" t="s">
        <v>271</v>
      </c>
    </row>
    <row r="136" spans="1:7">
      <c r="A136" s="274">
        <v>44469</v>
      </c>
      <c r="B136" s="275" t="s">
        <v>306</v>
      </c>
      <c r="C136" s="271">
        <v>20708.330000000002</v>
      </c>
      <c r="D136" s="276" t="s">
        <v>321</v>
      </c>
      <c r="E136" s="277" t="s">
        <v>277</v>
      </c>
      <c r="F136" s="277" t="s">
        <v>271</v>
      </c>
    </row>
    <row r="137" spans="1:7">
      <c r="A137" s="274">
        <v>44500</v>
      </c>
      <c r="B137" s="275" t="s">
        <v>307</v>
      </c>
      <c r="C137" s="271">
        <v>20708.330000000002</v>
      </c>
      <c r="D137" s="276" t="s">
        <v>321</v>
      </c>
      <c r="E137" s="277" t="s">
        <v>277</v>
      </c>
      <c r="F137" s="277" t="s">
        <v>271</v>
      </c>
    </row>
    <row r="138" spans="1:7">
      <c r="A138" s="274">
        <v>44530</v>
      </c>
      <c r="B138" s="275" t="s">
        <v>308</v>
      </c>
      <c r="C138" s="271">
        <v>20708.349999999999</v>
      </c>
      <c r="D138" s="276" t="s">
        <v>321</v>
      </c>
      <c r="E138" s="277" t="s">
        <v>277</v>
      </c>
      <c r="F138" s="277" t="s">
        <v>271</v>
      </c>
    </row>
    <row r="139" spans="1:7">
      <c r="A139" s="274">
        <v>44561</v>
      </c>
      <c r="B139" s="275" t="s">
        <v>309</v>
      </c>
      <c r="C139" s="271">
        <v>17145.830000000002</v>
      </c>
      <c r="D139" s="276" t="s">
        <v>321</v>
      </c>
      <c r="E139" s="277" t="s">
        <v>277</v>
      </c>
      <c r="F139" s="277" t="s">
        <v>271</v>
      </c>
    </row>
    <row r="141" spans="1:7">
      <c r="A141" s="274">
        <v>44286</v>
      </c>
      <c r="B141" s="275" t="s">
        <v>322</v>
      </c>
      <c r="C141" s="271">
        <v>-9634.16</v>
      </c>
      <c r="D141" s="276" t="s">
        <v>332</v>
      </c>
      <c r="E141" s="277" t="s">
        <v>277</v>
      </c>
      <c r="F141" s="277" t="s">
        <v>271</v>
      </c>
      <c r="G141" s="258" t="s">
        <v>333</v>
      </c>
    </row>
    <row r="142" spans="1:7">
      <c r="A142" s="274">
        <v>44316</v>
      </c>
      <c r="B142" s="275" t="s">
        <v>323</v>
      </c>
      <c r="C142" s="271">
        <v>-9634.16</v>
      </c>
      <c r="D142" s="276" t="s">
        <v>332</v>
      </c>
      <c r="E142" s="277" t="s">
        <v>277</v>
      </c>
      <c r="F142" s="277" t="s">
        <v>271</v>
      </c>
      <c r="G142" s="258" t="s">
        <v>285</v>
      </c>
    </row>
    <row r="143" spans="1:7">
      <c r="A143" s="274">
        <v>44347</v>
      </c>
      <c r="B143" s="275" t="s">
        <v>324</v>
      </c>
      <c r="C143" s="271">
        <v>-9634.16</v>
      </c>
      <c r="D143" s="276" t="s">
        <v>332</v>
      </c>
      <c r="E143" s="277" t="s">
        <v>277</v>
      </c>
      <c r="F143" s="277" t="s">
        <v>271</v>
      </c>
    </row>
    <row r="144" spans="1:7">
      <c r="A144" s="274">
        <v>44377</v>
      </c>
      <c r="B144" s="275" t="s">
        <v>325</v>
      </c>
      <c r="C144" s="271">
        <v>-9634.16</v>
      </c>
      <c r="D144" s="276" t="s">
        <v>332</v>
      </c>
      <c r="E144" s="277" t="s">
        <v>277</v>
      </c>
      <c r="F144" s="277" t="s">
        <v>271</v>
      </c>
    </row>
    <row r="145" spans="1:7">
      <c r="A145" s="274">
        <v>44408</v>
      </c>
      <c r="B145" s="275" t="s">
        <v>326</v>
      </c>
      <c r="C145" s="271">
        <v>-9634.16</v>
      </c>
      <c r="D145" s="276" t="s">
        <v>332</v>
      </c>
      <c r="E145" s="277" t="s">
        <v>277</v>
      </c>
      <c r="F145" s="277" t="s">
        <v>271</v>
      </c>
    </row>
    <row r="146" spans="1:7">
      <c r="A146" s="274">
        <v>44439</v>
      </c>
      <c r="B146" s="275" t="s">
        <v>327</v>
      </c>
      <c r="C146" s="271">
        <v>-9634.16</v>
      </c>
      <c r="D146" s="276" t="s">
        <v>332</v>
      </c>
      <c r="E146" s="277" t="s">
        <v>277</v>
      </c>
      <c r="F146" s="277" t="s">
        <v>271</v>
      </c>
    </row>
    <row r="147" spans="1:7">
      <c r="A147" s="274">
        <v>44469</v>
      </c>
      <c r="B147" s="275" t="s">
        <v>328</v>
      </c>
      <c r="C147" s="271">
        <v>-9634.16</v>
      </c>
      <c r="D147" s="276" t="s">
        <v>332</v>
      </c>
      <c r="E147" s="277" t="s">
        <v>277</v>
      </c>
      <c r="F147" s="277" t="s">
        <v>271</v>
      </c>
    </row>
    <row r="148" spans="1:7">
      <c r="A148" s="274">
        <v>44500</v>
      </c>
      <c r="B148" s="275" t="s">
        <v>329</v>
      </c>
      <c r="C148" s="271">
        <v>-9634.16</v>
      </c>
      <c r="D148" s="276" t="s">
        <v>332</v>
      </c>
      <c r="E148" s="277" t="s">
        <v>277</v>
      </c>
      <c r="F148" s="277" t="s">
        <v>271</v>
      </c>
    </row>
    <row r="149" spans="1:7">
      <c r="A149" s="274">
        <v>44530</v>
      </c>
      <c r="B149" s="275" t="s">
        <v>330</v>
      </c>
      <c r="C149" s="271">
        <v>-9634.16</v>
      </c>
      <c r="D149" s="276" t="s">
        <v>332</v>
      </c>
      <c r="E149" s="277" t="s">
        <v>277</v>
      </c>
      <c r="F149" s="277" t="s">
        <v>271</v>
      </c>
    </row>
    <row r="150" spans="1:7">
      <c r="A150" s="274">
        <v>44561</v>
      </c>
      <c r="B150" s="275" t="s">
        <v>331</v>
      </c>
      <c r="C150" s="271">
        <v>-9634.16</v>
      </c>
      <c r="D150" s="276" t="s">
        <v>332</v>
      </c>
      <c r="E150" s="277" t="s">
        <v>277</v>
      </c>
      <c r="F150" s="277" t="s">
        <v>271</v>
      </c>
    </row>
    <row r="152" spans="1:7">
      <c r="A152" s="274">
        <v>44286</v>
      </c>
      <c r="B152" s="275" t="s">
        <v>334</v>
      </c>
      <c r="C152" s="271">
        <f>-1496.49-8547.05</f>
        <v>-10043.539999999999</v>
      </c>
      <c r="D152" s="276" t="s">
        <v>344</v>
      </c>
      <c r="E152" s="277" t="s">
        <v>277</v>
      </c>
      <c r="F152" s="277" t="s">
        <v>271</v>
      </c>
      <c r="G152" s="258" t="s">
        <v>333</v>
      </c>
    </row>
    <row r="153" spans="1:7">
      <c r="A153" s="274">
        <v>44316</v>
      </c>
      <c r="B153" s="275" t="s">
        <v>335</v>
      </c>
      <c r="C153" s="271">
        <f t="shared" ref="C153:C161" si="0">-1496.49-8547.05</f>
        <v>-10043.539999999999</v>
      </c>
      <c r="D153" s="276" t="s">
        <v>344</v>
      </c>
      <c r="E153" s="277" t="s">
        <v>277</v>
      </c>
      <c r="F153" s="277" t="s">
        <v>271</v>
      </c>
      <c r="G153" s="258" t="s">
        <v>285</v>
      </c>
    </row>
    <row r="154" spans="1:7">
      <c r="A154" s="274">
        <v>44347</v>
      </c>
      <c r="B154" s="275" t="s">
        <v>336</v>
      </c>
      <c r="C154" s="271">
        <f t="shared" si="0"/>
        <v>-10043.539999999999</v>
      </c>
      <c r="D154" s="276" t="s">
        <v>344</v>
      </c>
      <c r="E154" s="277" t="s">
        <v>277</v>
      </c>
      <c r="F154" s="277" t="s">
        <v>271</v>
      </c>
    </row>
    <row r="155" spans="1:7">
      <c r="A155" s="274">
        <v>44377</v>
      </c>
      <c r="B155" s="275" t="s">
        <v>337</v>
      </c>
      <c r="C155" s="271">
        <f t="shared" si="0"/>
        <v>-10043.539999999999</v>
      </c>
      <c r="D155" s="276" t="s">
        <v>344</v>
      </c>
      <c r="E155" s="277" t="s">
        <v>277</v>
      </c>
      <c r="F155" s="277" t="s">
        <v>271</v>
      </c>
    </row>
    <row r="156" spans="1:7">
      <c r="A156" s="274">
        <v>44408</v>
      </c>
      <c r="B156" s="275" t="s">
        <v>338</v>
      </c>
      <c r="C156" s="271">
        <f t="shared" si="0"/>
        <v>-10043.539999999999</v>
      </c>
      <c r="D156" s="276" t="s">
        <v>344</v>
      </c>
      <c r="E156" s="277" t="s">
        <v>277</v>
      </c>
      <c r="F156" s="277" t="s">
        <v>271</v>
      </c>
    </row>
    <row r="157" spans="1:7">
      <c r="A157" s="274">
        <v>44439</v>
      </c>
      <c r="B157" s="275" t="s">
        <v>339</v>
      </c>
      <c r="C157" s="271">
        <f t="shared" si="0"/>
        <v>-10043.539999999999</v>
      </c>
      <c r="D157" s="276" t="s">
        <v>344</v>
      </c>
      <c r="E157" s="277" t="s">
        <v>277</v>
      </c>
      <c r="F157" s="277" t="s">
        <v>271</v>
      </c>
    </row>
    <row r="158" spans="1:7">
      <c r="A158" s="274">
        <v>44469</v>
      </c>
      <c r="B158" s="275" t="s">
        <v>340</v>
      </c>
      <c r="C158" s="271">
        <f t="shared" si="0"/>
        <v>-10043.539999999999</v>
      </c>
      <c r="D158" s="276" t="s">
        <v>344</v>
      </c>
      <c r="E158" s="277" t="s">
        <v>277</v>
      </c>
      <c r="F158" s="277" t="s">
        <v>271</v>
      </c>
    </row>
    <row r="159" spans="1:7">
      <c r="A159" s="274">
        <v>44500</v>
      </c>
      <c r="B159" s="275" t="s">
        <v>341</v>
      </c>
      <c r="C159" s="271">
        <f t="shared" si="0"/>
        <v>-10043.539999999999</v>
      </c>
      <c r="D159" s="276" t="s">
        <v>344</v>
      </c>
      <c r="E159" s="277" t="s">
        <v>277</v>
      </c>
      <c r="F159" s="277" t="s">
        <v>271</v>
      </c>
    </row>
    <row r="160" spans="1:7">
      <c r="A160" s="274">
        <v>44530</v>
      </c>
      <c r="B160" s="275" t="s">
        <v>342</v>
      </c>
      <c r="C160" s="271">
        <f t="shared" si="0"/>
        <v>-10043.539999999999</v>
      </c>
      <c r="D160" s="276" t="s">
        <v>344</v>
      </c>
      <c r="E160" s="277" t="s">
        <v>277</v>
      </c>
      <c r="F160" s="277" t="s">
        <v>271</v>
      </c>
    </row>
    <row r="161" spans="1:7">
      <c r="A161" s="274">
        <v>44561</v>
      </c>
      <c r="B161" s="275" t="s">
        <v>343</v>
      </c>
      <c r="C161" s="271">
        <f t="shared" si="0"/>
        <v>-10043.539999999999</v>
      </c>
      <c r="D161" s="276" t="s">
        <v>344</v>
      </c>
      <c r="E161" s="277" t="s">
        <v>277</v>
      </c>
      <c r="F161" s="277" t="s">
        <v>271</v>
      </c>
    </row>
    <row r="163" spans="1:7">
      <c r="A163" s="274">
        <v>44286</v>
      </c>
      <c r="B163" s="275" t="s">
        <v>334</v>
      </c>
      <c r="C163" s="271">
        <v>2265.9499999999998</v>
      </c>
      <c r="D163" s="276" t="s">
        <v>345</v>
      </c>
      <c r="E163" s="277" t="s">
        <v>277</v>
      </c>
      <c r="F163" s="277" t="s">
        <v>271</v>
      </c>
      <c r="G163" s="258" t="s">
        <v>333</v>
      </c>
    </row>
    <row r="164" spans="1:7">
      <c r="A164" s="274">
        <v>44316</v>
      </c>
      <c r="B164" s="275" t="s">
        <v>335</v>
      </c>
      <c r="C164" s="271">
        <v>2265.9499999999998</v>
      </c>
      <c r="D164" s="276" t="s">
        <v>345</v>
      </c>
      <c r="E164" s="277" t="s">
        <v>277</v>
      </c>
      <c r="F164" s="277" t="s">
        <v>271</v>
      </c>
      <c r="G164" s="258" t="s">
        <v>285</v>
      </c>
    </row>
    <row r="165" spans="1:7">
      <c r="A165" s="274">
        <v>44347</v>
      </c>
      <c r="B165" s="275" t="s">
        <v>336</v>
      </c>
      <c r="C165" s="271">
        <v>2265.9499999999998</v>
      </c>
      <c r="D165" s="276" t="s">
        <v>345</v>
      </c>
      <c r="E165" s="277" t="s">
        <v>277</v>
      </c>
      <c r="F165" s="277" t="s">
        <v>271</v>
      </c>
    </row>
    <row r="166" spans="1:7">
      <c r="A166" s="274">
        <v>44377</v>
      </c>
      <c r="B166" s="275" t="s">
        <v>337</v>
      </c>
      <c r="C166" s="271">
        <v>2265.9499999999998</v>
      </c>
      <c r="D166" s="276" t="s">
        <v>345</v>
      </c>
      <c r="E166" s="277" t="s">
        <v>277</v>
      </c>
      <c r="F166" s="277" t="s">
        <v>271</v>
      </c>
    </row>
    <row r="167" spans="1:7">
      <c r="A167" s="274">
        <v>44408</v>
      </c>
      <c r="B167" s="275" t="s">
        <v>338</v>
      </c>
      <c r="C167" s="271">
        <v>2265.9499999999998</v>
      </c>
      <c r="D167" s="276" t="s">
        <v>345</v>
      </c>
      <c r="E167" s="277" t="s">
        <v>277</v>
      </c>
      <c r="F167" s="277" t="s">
        <v>271</v>
      </c>
    </row>
    <row r="168" spans="1:7">
      <c r="A168" s="274">
        <v>44439</v>
      </c>
      <c r="B168" s="275" t="s">
        <v>339</v>
      </c>
      <c r="C168" s="271">
        <v>2265.9499999999998</v>
      </c>
      <c r="D168" s="276" t="s">
        <v>345</v>
      </c>
      <c r="E168" s="277" t="s">
        <v>277</v>
      </c>
      <c r="F168" s="277" t="s">
        <v>271</v>
      </c>
    </row>
    <row r="169" spans="1:7">
      <c r="A169" s="274">
        <v>44469</v>
      </c>
      <c r="B169" s="275" t="s">
        <v>340</v>
      </c>
      <c r="C169" s="271">
        <v>2265.9499999999998</v>
      </c>
      <c r="D169" s="276" t="s">
        <v>345</v>
      </c>
      <c r="E169" s="277" t="s">
        <v>277</v>
      </c>
      <c r="F169" s="277" t="s">
        <v>271</v>
      </c>
    </row>
    <row r="170" spans="1:7">
      <c r="A170" s="274">
        <v>44500</v>
      </c>
      <c r="B170" s="275" t="s">
        <v>341</v>
      </c>
      <c r="C170" s="271">
        <v>2265.9499999999998</v>
      </c>
      <c r="D170" s="276" t="s">
        <v>345</v>
      </c>
      <c r="E170" s="277" t="s">
        <v>277</v>
      </c>
      <c r="F170" s="277" t="s">
        <v>271</v>
      </c>
    </row>
    <row r="171" spans="1:7">
      <c r="A171" s="274">
        <v>44530</v>
      </c>
      <c r="B171" s="275" t="s">
        <v>342</v>
      </c>
      <c r="C171" s="271">
        <v>2265.9499999999998</v>
      </c>
      <c r="D171" s="276" t="s">
        <v>345</v>
      </c>
      <c r="E171" s="277" t="s">
        <v>277</v>
      </c>
      <c r="F171" s="277" t="s">
        <v>271</v>
      </c>
    </row>
    <row r="172" spans="1:7">
      <c r="A172" s="274">
        <v>44561</v>
      </c>
      <c r="B172" s="275" t="s">
        <v>343</v>
      </c>
      <c r="C172" s="271">
        <v>2265.9499999999998</v>
      </c>
      <c r="D172" s="276" t="s">
        <v>345</v>
      </c>
      <c r="E172" s="277" t="s">
        <v>277</v>
      </c>
      <c r="F172" s="277" t="s">
        <v>271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2023 Summary</vt:lpstr>
      <vt:lpstr>2023 Schedule 06</vt:lpstr>
      <vt:lpstr>2023 Bank Statements</vt:lpstr>
      <vt:lpstr>2023 Revolving Funds</vt:lpstr>
      <vt:lpstr>2023 Bank Effect Transfers</vt:lpstr>
      <vt:lpstr>2023 NSFs</vt:lpstr>
      <vt:lpstr>2023 VOIDED TREASURER CHECKS</vt:lpstr>
      <vt:lpstr>2023 XFERS IN-OUT</vt:lpstr>
      <vt:lpstr>2023 Interfund</vt:lpstr>
      <vt:lpstr>'2023 Schedule 06'!Print_Area</vt:lpstr>
      <vt:lpstr>'2023 Summary'!Print_Area</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Cash Flow Reconciliation</dc:title>
  <dc:creator>WA State Auditor's Office</dc:creator>
  <dc:description>This template is required for use in BARS Cash Basis audits to reconcile cash balances and flows.</dc:description>
  <cp:lastModifiedBy>Kelly White</cp:lastModifiedBy>
  <cp:lastPrinted>2022-08-17T16:48:58Z</cp:lastPrinted>
  <dcterms:created xsi:type="dcterms:W3CDTF">2007-09-05T20:57:35Z</dcterms:created>
  <dcterms:modified xsi:type="dcterms:W3CDTF">2025-02-05T18:10:24Z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tiveLinkConverted">
    <vt:bool>true</vt:bool>
  </property>
</Properties>
</file>